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Invoice Downloads\"/>
    </mc:Choice>
  </mc:AlternateContent>
  <xr:revisionPtr revIDLastSave="0" documentId="8_{6A2B390B-0432-4774-976C-825A708818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 Form" sheetId="1" r:id="rId1"/>
    <sheet name="Fruit Trees" sheetId="2" state="hidden" r:id="rId2"/>
    <sheet name="Jim Reck" sheetId="3" state="hidden" r:id="rId3"/>
    <sheet name="Landscape Trees " sheetId="4" state="hidden" r:id="rId4"/>
    <sheet name="Printer Version " sheetId="5" state="hidden" r:id="rId5"/>
  </sheets>
  <definedNames>
    <definedName name="_xlnm._FilterDatabase" localSheetId="2" hidden="1">'Jim Reck'!$A$7:$K$473</definedName>
    <definedName name="_xlnm._FilterDatabase" localSheetId="0" hidden="1">'Order Form'!$I$1:$I$460</definedName>
    <definedName name="Z_CACE497B_0C50_48E1_A33F_8BC29C370049_.wvu.FilterData" localSheetId="2" hidden="1">'Jim Reck'!$F$3:$F$473</definedName>
    <definedName name="Z_CACE497B_0C50_48E1_A33F_8BC29C370049_.wvu.FilterData" localSheetId="0" hidden="1">'Order Form'!$F$3:$F$460</definedName>
  </definedNames>
  <calcPr calcId="191029"/>
  <customWorkbookViews>
    <customWorkbookView name="Filter 1" guid="{CACE497B-0C50-48E1-A33F-8BC29C370049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4" i="5" l="1"/>
  <c r="G1014" i="5"/>
  <c r="F1014" i="5"/>
  <c r="E1014" i="5"/>
  <c r="D1014" i="5"/>
  <c r="C1014" i="5"/>
  <c r="B1014" i="5"/>
  <c r="A1014" i="5"/>
  <c r="H1013" i="5"/>
  <c r="G1013" i="5"/>
  <c r="F1013" i="5"/>
  <c r="E1013" i="5"/>
  <c r="D1013" i="5"/>
  <c r="C1013" i="5"/>
  <c r="B1013" i="5"/>
  <c r="A1013" i="5"/>
  <c r="H1012" i="5"/>
  <c r="G1012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H1010" i="5"/>
  <c r="G1010" i="5"/>
  <c r="F1010" i="5"/>
  <c r="E1010" i="5"/>
  <c r="D1010" i="5"/>
  <c r="C1010" i="5"/>
  <c r="B1010" i="5"/>
  <c r="A1010" i="5"/>
  <c r="H1009" i="5"/>
  <c r="G1009" i="5"/>
  <c r="F1009" i="5"/>
  <c r="E1009" i="5"/>
  <c r="D1009" i="5"/>
  <c r="C1009" i="5"/>
  <c r="B1009" i="5"/>
  <c r="A1009" i="5"/>
  <c r="H1008" i="5"/>
  <c r="G1008" i="5"/>
  <c r="F1008" i="5"/>
  <c r="E1008" i="5"/>
  <c r="D1008" i="5"/>
  <c r="C1008" i="5"/>
  <c r="B1008" i="5"/>
  <c r="A1008" i="5"/>
  <c r="H1007" i="5"/>
  <c r="G1007" i="5"/>
  <c r="F1007" i="5"/>
  <c r="E1007" i="5"/>
  <c r="D1007" i="5"/>
  <c r="C1007" i="5"/>
  <c r="B1007" i="5"/>
  <c r="A1007" i="5"/>
  <c r="H1006" i="5"/>
  <c r="G1006" i="5"/>
  <c r="F1006" i="5"/>
  <c r="E1006" i="5"/>
  <c r="D1006" i="5"/>
  <c r="C1006" i="5"/>
  <c r="B1006" i="5"/>
  <c r="A1006" i="5"/>
  <c r="H1005" i="5"/>
  <c r="G1005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H1003" i="5"/>
  <c r="G1003" i="5"/>
  <c r="F1003" i="5"/>
  <c r="E1003" i="5"/>
  <c r="D1003" i="5"/>
  <c r="C1003" i="5"/>
  <c r="B1003" i="5"/>
  <c r="A1003" i="5"/>
  <c r="H1002" i="5"/>
  <c r="G1002" i="5"/>
  <c r="F1002" i="5"/>
  <c r="E1002" i="5"/>
  <c r="D1002" i="5"/>
  <c r="C1002" i="5"/>
  <c r="B1002" i="5"/>
  <c r="A1002" i="5"/>
  <c r="H1001" i="5"/>
  <c r="G1001" i="5"/>
  <c r="F1001" i="5"/>
  <c r="E1001" i="5"/>
  <c r="D1001" i="5"/>
  <c r="C1001" i="5"/>
  <c r="B1001" i="5"/>
  <c r="A1001" i="5"/>
  <c r="H1000" i="5"/>
  <c r="G1000" i="5"/>
  <c r="F1000" i="5"/>
  <c r="E1000" i="5"/>
  <c r="D1000" i="5"/>
  <c r="C1000" i="5"/>
  <c r="B1000" i="5"/>
  <c r="A1000" i="5"/>
  <c r="H999" i="5"/>
  <c r="G999" i="5"/>
  <c r="F999" i="5"/>
  <c r="E999" i="5"/>
  <c r="D999" i="5"/>
  <c r="C999" i="5"/>
  <c r="B999" i="5"/>
  <c r="A999" i="5"/>
  <c r="H998" i="5"/>
  <c r="G998" i="5"/>
  <c r="F998" i="5"/>
  <c r="E998" i="5"/>
  <c r="D998" i="5"/>
  <c r="C998" i="5"/>
  <c r="B998" i="5"/>
  <c r="A998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H995" i="5"/>
  <c r="G995" i="5"/>
  <c r="F995" i="5"/>
  <c r="E995" i="5"/>
  <c r="D995" i="5"/>
  <c r="C995" i="5"/>
  <c r="B995" i="5"/>
  <c r="A995" i="5"/>
  <c r="H994" i="5"/>
  <c r="G994" i="5"/>
  <c r="F994" i="5"/>
  <c r="E994" i="5"/>
  <c r="D994" i="5"/>
  <c r="C994" i="5"/>
  <c r="B994" i="5"/>
  <c r="A994" i="5"/>
  <c r="H993" i="5"/>
  <c r="G993" i="5"/>
  <c r="F993" i="5"/>
  <c r="E993" i="5"/>
  <c r="D993" i="5"/>
  <c r="C993" i="5"/>
  <c r="B993" i="5"/>
  <c r="A993" i="5"/>
  <c r="H992" i="5"/>
  <c r="G992" i="5"/>
  <c r="F992" i="5"/>
  <c r="E992" i="5"/>
  <c r="D992" i="5"/>
  <c r="C992" i="5"/>
  <c r="B992" i="5"/>
  <c r="A992" i="5"/>
  <c r="H991" i="5"/>
  <c r="G991" i="5"/>
  <c r="F991" i="5"/>
  <c r="E991" i="5"/>
  <c r="D991" i="5"/>
  <c r="C991" i="5"/>
  <c r="B991" i="5"/>
  <c r="A991" i="5"/>
  <c r="H990" i="5"/>
  <c r="G990" i="5"/>
  <c r="F990" i="5"/>
  <c r="E990" i="5"/>
  <c r="D990" i="5"/>
  <c r="C990" i="5"/>
  <c r="B990" i="5"/>
  <c r="A990" i="5"/>
  <c r="H989" i="5"/>
  <c r="G989" i="5"/>
  <c r="F989" i="5"/>
  <c r="E989" i="5"/>
  <c r="D989" i="5"/>
  <c r="C989" i="5"/>
  <c r="B989" i="5"/>
  <c r="A989" i="5"/>
  <c r="H988" i="5"/>
  <c r="G988" i="5"/>
  <c r="F988" i="5"/>
  <c r="E988" i="5"/>
  <c r="D988" i="5"/>
  <c r="C988" i="5"/>
  <c r="B988" i="5"/>
  <c r="A988" i="5"/>
  <c r="H987" i="5"/>
  <c r="G987" i="5"/>
  <c r="F987" i="5"/>
  <c r="E987" i="5"/>
  <c r="D987" i="5"/>
  <c r="C987" i="5"/>
  <c r="B987" i="5"/>
  <c r="A987" i="5"/>
  <c r="H986" i="5"/>
  <c r="G986" i="5"/>
  <c r="F986" i="5"/>
  <c r="E986" i="5"/>
  <c r="D986" i="5"/>
  <c r="C986" i="5"/>
  <c r="B986" i="5"/>
  <c r="A986" i="5"/>
  <c r="H985" i="5"/>
  <c r="G985" i="5"/>
  <c r="F985" i="5"/>
  <c r="E985" i="5"/>
  <c r="D985" i="5"/>
  <c r="C985" i="5"/>
  <c r="B985" i="5"/>
  <c r="A985" i="5"/>
  <c r="H984" i="5"/>
  <c r="G984" i="5"/>
  <c r="F984" i="5"/>
  <c r="E984" i="5"/>
  <c r="D984" i="5"/>
  <c r="C984" i="5"/>
  <c r="B984" i="5"/>
  <c r="A984" i="5"/>
  <c r="H983" i="5"/>
  <c r="G983" i="5"/>
  <c r="F983" i="5"/>
  <c r="E983" i="5"/>
  <c r="D983" i="5"/>
  <c r="C983" i="5"/>
  <c r="B983" i="5"/>
  <c r="A983" i="5"/>
  <c r="H982" i="5"/>
  <c r="G982" i="5"/>
  <c r="F982" i="5"/>
  <c r="E982" i="5"/>
  <c r="D982" i="5"/>
  <c r="C982" i="5"/>
  <c r="B982" i="5"/>
  <c r="A982" i="5"/>
  <c r="H981" i="5"/>
  <c r="G981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H979" i="5"/>
  <c r="G979" i="5"/>
  <c r="F979" i="5"/>
  <c r="E979" i="5"/>
  <c r="D979" i="5"/>
  <c r="C979" i="5"/>
  <c r="B979" i="5"/>
  <c r="A979" i="5"/>
  <c r="H978" i="5"/>
  <c r="G978" i="5"/>
  <c r="F978" i="5"/>
  <c r="E978" i="5"/>
  <c r="D978" i="5"/>
  <c r="C978" i="5"/>
  <c r="B978" i="5"/>
  <c r="A978" i="5"/>
  <c r="H977" i="5"/>
  <c r="G977" i="5"/>
  <c r="F977" i="5"/>
  <c r="E977" i="5"/>
  <c r="D977" i="5"/>
  <c r="C977" i="5"/>
  <c r="B977" i="5"/>
  <c r="A977" i="5"/>
  <c r="H976" i="5"/>
  <c r="G976" i="5"/>
  <c r="F976" i="5"/>
  <c r="E976" i="5"/>
  <c r="D976" i="5"/>
  <c r="C976" i="5"/>
  <c r="B976" i="5"/>
  <c r="A976" i="5"/>
  <c r="H975" i="5"/>
  <c r="G975" i="5"/>
  <c r="F975" i="5"/>
  <c r="E975" i="5"/>
  <c r="D975" i="5"/>
  <c r="C975" i="5"/>
  <c r="B975" i="5"/>
  <c r="A975" i="5"/>
  <c r="H974" i="5"/>
  <c r="G974" i="5"/>
  <c r="F974" i="5"/>
  <c r="E974" i="5"/>
  <c r="D974" i="5"/>
  <c r="C974" i="5"/>
  <c r="B974" i="5"/>
  <c r="A974" i="5"/>
  <c r="H973" i="5"/>
  <c r="G973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H970" i="5"/>
  <c r="G970" i="5"/>
  <c r="F970" i="5"/>
  <c r="E970" i="5"/>
  <c r="D970" i="5"/>
  <c r="C970" i="5"/>
  <c r="B970" i="5"/>
  <c r="A970" i="5"/>
  <c r="H969" i="5"/>
  <c r="G969" i="5"/>
  <c r="F969" i="5"/>
  <c r="E969" i="5"/>
  <c r="D969" i="5"/>
  <c r="C969" i="5"/>
  <c r="B969" i="5"/>
  <c r="A969" i="5"/>
  <c r="H968" i="5"/>
  <c r="G968" i="5"/>
  <c r="F968" i="5"/>
  <c r="E968" i="5"/>
  <c r="D968" i="5"/>
  <c r="C968" i="5"/>
  <c r="B968" i="5"/>
  <c r="A968" i="5"/>
  <c r="H967" i="5"/>
  <c r="G967" i="5"/>
  <c r="F967" i="5"/>
  <c r="E967" i="5"/>
  <c r="D967" i="5"/>
  <c r="C967" i="5"/>
  <c r="B967" i="5"/>
  <c r="A967" i="5"/>
  <c r="H966" i="5"/>
  <c r="G966" i="5"/>
  <c r="F966" i="5"/>
  <c r="E966" i="5"/>
  <c r="D966" i="5"/>
  <c r="C966" i="5"/>
  <c r="B966" i="5"/>
  <c r="A966" i="5"/>
  <c r="H965" i="5"/>
  <c r="G965" i="5"/>
  <c r="F965" i="5"/>
  <c r="E965" i="5"/>
  <c r="D965" i="5"/>
  <c r="C965" i="5"/>
  <c r="B965" i="5"/>
  <c r="A965" i="5"/>
  <c r="H964" i="5"/>
  <c r="G964" i="5"/>
  <c r="F964" i="5"/>
  <c r="E964" i="5"/>
  <c r="D964" i="5"/>
  <c r="C964" i="5"/>
  <c r="B964" i="5"/>
  <c r="A964" i="5"/>
  <c r="H963" i="5"/>
  <c r="G963" i="5"/>
  <c r="F963" i="5"/>
  <c r="E963" i="5"/>
  <c r="D963" i="5"/>
  <c r="C963" i="5"/>
  <c r="B963" i="5"/>
  <c r="A963" i="5"/>
  <c r="H962" i="5"/>
  <c r="G962" i="5"/>
  <c r="F962" i="5"/>
  <c r="E962" i="5"/>
  <c r="D962" i="5"/>
  <c r="C962" i="5"/>
  <c r="B962" i="5"/>
  <c r="A962" i="5"/>
  <c r="H961" i="5"/>
  <c r="G961" i="5"/>
  <c r="F961" i="5"/>
  <c r="E961" i="5"/>
  <c r="D961" i="5"/>
  <c r="C961" i="5"/>
  <c r="B961" i="5"/>
  <c r="A961" i="5"/>
  <c r="H960" i="5"/>
  <c r="G960" i="5"/>
  <c r="F960" i="5"/>
  <c r="E960" i="5"/>
  <c r="D960" i="5"/>
  <c r="C960" i="5"/>
  <c r="B960" i="5"/>
  <c r="A960" i="5"/>
  <c r="H959" i="5"/>
  <c r="G959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H957" i="5"/>
  <c r="G957" i="5"/>
  <c r="F957" i="5"/>
  <c r="E957" i="5"/>
  <c r="D957" i="5"/>
  <c r="C957" i="5"/>
  <c r="B957" i="5"/>
  <c r="A957" i="5"/>
  <c r="H956" i="5"/>
  <c r="G956" i="5"/>
  <c r="F956" i="5"/>
  <c r="E956" i="5"/>
  <c r="D956" i="5"/>
  <c r="C956" i="5"/>
  <c r="B956" i="5"/>
  <c r="A956" i="5"/>
  <c r="H955" i="5"/>
  <c r="G955" i="5"/>
  <c r="F955" i="5"/>
  <c r="E955" i="5"/>
  <c r="D955" i="5"/>
  <c r="C955" i="5"/>
  <c r="B955" i="5"/>
  <c r="A955" i="5"/>
  <c r="H954" i="5"/>
  <c r="G954" i="5"/>
  <c r="F954" i="5"/>
  <c r="E954" i="5"/>
  <c r="D954" i="5"/>
  <c r="C954" i="5"/>
  <c r="B954" i="5"/>
  <c r="A954" i="5"/>
  <c r="H953" i="5"/>
  <c r="G953" i="5"/>
  <c r="F953" i="5"/>
  <c r="E953" i="5"/>
  <c r="D953" i="5"/>
  <c r="C953" i="5"/>
  <c r="B953" i="5"/>
  <c r="A953" i="5"/>
  <c r="H952" i="5"/>
  <c r="G952" i="5"/>
  <c r="F952" i="5"/>
  <c r="E952" i="5"/>
  <c r="D952" i="5"/>
  <c r="C952" i="5"/>
  <c r="B952" i="5"/>
  <c r="A952" i="5"/>
  <c r="H951" i="5"/>
  <c r="G951" i="5"/>
  <c r="F951" i="5"/>
  <c r="E951" i="5"/>
  <c r="D951" i="5"/>
  <c r="C951" i="5"/>
  <c r="B951" i="5"/>
  <c r="A951" i="5"/>
  <c r="H950" i="5"/>
  <c r="G950" i="5"/>
  <c r="F950" i="5"/>
  <c r="E950" i="5"/>
  <c r="D950" i="5"/>
  <c r="C950" i="5"/>
  <c r="B950" i="5"/>
  <c r="A950" i="5"/>
  <c r="H949" i="5"/>
  <c r="G949" i="5"/>
  <c r="F949" i="5"/>
  <c r="E949" i="5"/>
  <c r="D949" i="5"/>
  <c r="C949" i="5"/>
  <c r="B949" i="5"/>
  <c r="A949" i="5"/>
  <c r="H948" i="5"/>
  <c r="G948" i="5"/>
  <c r="F948" i="5"/>
  <c r="E948" i="5"/>
  <c r="D948" i="5"/>
  <c r="C948" i="5"/>
  <c r="B948" i="5"/>
  <c r="A948" i="5"/>
  <c r="H947" i="5"/>
  <c r="G947" i="5"/>
  <c r="F947" i="5"/>
  <c r="E947" i="5"/>
  <c r="D947" i="5"/>
  <c r="C947" i="5"/>
  <c r="B947" i="5"/>
  <c r="A947" i="5"/>
  <c r="H946" i="5"/>
  <c r="G946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H944" i="5"/>
  <c r="G944" i="5"/>
  <c r="F944" i="5"/>
  <c r="E944" i="5"/>
  <c r="D944" i="5"/>
  <c r="C944" i="5"/>
  <c r="B944" i="5"/>
  <c r="A944" i="5"/>
  <c r="H943" i="5"/>
  <c r="G943" i="5"/>
  <c r="F943" i="5"/>
  <c r="E943" i="5"/>
  <c r="D943" i="5"/>
  <c r="C943" i="5"/>
  <c r="B943" i="5"/>
  <c r="A943" i="5"/>
  <c r="H942" i="5"/>
  <c r="G942" i="5"/>
  <c r="F942" i="5"/>
  <c r="E942" i="5"/>
  <c r="D942" i="5"/>
  <c r="C942" i="5"/>
  <c r="B942" i="5"/>
  <c r="A942" i="5"/>
  <c r="H941" i="5"/>
  <c r="G941" i="5"/>
  <c r="F941" i="5"/>
  <c r="E941" i="5"/>
  <c r="D941" i="5"/>
  <c r="C941" i="5"/>
  <c r="B941" i="5"/>
  <c r="A941" i="5"/>
  <c r="H940" i="5"/>
  <c r="G940" i="5"/>
  <c r="F940" i="5"/>
  <c r="E940" i="5"/>
  <c r="D940" i="5"/>
  <c r="C940" i="5"/>
  <c r="B940" i="5"/>
  <c r="A940" i="5"/>
  <c r="H939" i="5"/>
  <c r="G939" i="5"/>
  <c r="F939" i="5"/>
  <c r="E939" i="5"/>
  <c r="D939" i="5"/>
  <c r="C939" i="5"/>
  <c r="B939" i="5"/>
  <c r="A939" i="5"/>
  <c r="H938" i="5"/>
  <c r="G938" i="5"/>
  <c r="F938" i="5"/>
  <c r="E938" i="5"/>
  <c r="D938" i="5"/>
  <c r="C938" i="5"/>
  <c r="B938" i="5"/>
  <c r="A938" i="5"/>
  <c r="H937" i="5"/>
  <c r="G937" i="5"/>
  <c r="F937" i="5"/>
  <c r="E937" i="5"/>
  <c r="D937" i="5"/>
  <c r="C937" i="5"/>
  <c r="B937" i="5"/>
  <c r="A937" i="5"/>
  <c r="H936" i="5"/>
  <c r="G936" i="5"/>
  <c r="F936" i="5"/>
  <c r="E936" i="5"/>
  <c r="D936" i="5"/>
  <c r="C936" i="5"/>
  <c r="B936" i="5"/>
  <c r="A936" i="5"/>
  <c r="H935" i="5"/>
  <c r="G935" i="5"/>
  <c r="F935" i="5"/>
  <c r="E935" i="5"/>
  <c r="D935" i="5"/>
  <c r="C935" i="5"/>
  <c r="B935" i="5"/>
  <c r="A935" i="5"/>
  <c r="H934" i="5"/>
  <c r="G934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H931" i="5"/>
  <c r="G931" i="5"/>
  <c r="F931" i="5"/>
  <c r="E931" i="5"/>
  <c r="D931" i="5"/>
  <c r="C931" i="5"/>
  <c r="B931" i="5"/>
  <c r="A931" i="5"/>
  <c r="H930" i="5"/>
  <c r="G930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H928" i="5"/>
  <c r="G928" i="5"/>
  <c r="F928" i="5"/>
  <c r="E928" i="5"/>
  <c r="D928" i="5"/>
  <c r="C928" i="5"/>
  <c r="B928" i="5"/>
  <c r="A928" i="5"/>
  <c r="H927" i="5"/>
  <c r="G927" i="5"/>
  <c r="F927" i="5"/>
  <c r="E927" i="5"/>
  <c r="D927" i="5"/>
  <c r="C927" i="5"/>
  <c r="B927" i="5"/>
  <c r="A927" i="5"/>
  <c r="H926" i="5"/>
  <c r="G926" i="5"/>
  <c r="F926" i="5"/>
  <c r="E926" i="5"/>
  <c r="D926" i="5"/>
  <c r="C926" i="5"/>
  <c r="B926" i="5"/>
  <c r="A926" i="5"/>
  <c r="H925" i="5"/>
  <c r="G925" i="5"/>
  <c r="F925" i="5"/>
  <c r="E925" i="5"/>
  <c r="D925" i="5"/>
  <c r="C925" i="5"/>
  <c r="B925" i="5"/>
  <c r="A925" i="5"/>
  <c r="H924" i="5"/>
  <c r="G924" i="5"/>
  <c r="F924" i="5"/>
  <c r="E924" i="5"/>
  <c r="D924" i="5"/>
  <c r="C924" i="5"/>
  <c r="B924" i="5"/>
  <c r="A924" i="5"/>
  <c r="H923" i="5"/>
  <c r="G923" i="5"/>
  <c r="F923" i="5"/>
  <c r="E923" i="5"/>
  <c r="D923" i="5"/>
  <c r="C923" i="5"/>
  <c r="B923" i="5"/>
  <c r="A923" i="5"/>
  <c r="H922" i="5"/>
  <c r="G922" i="5"/>
  <c r="F922" i="5"/>
  <c r="E922" i="5"/>
  <c r="D922" i="5"/>
  <c r="C922" i="5"/>
  <c r="B922" i="5"/>
  <c r="A922" i="5"/>
  <c r="H921" i="5"/>
  <c r="G921" i="5"/>
  <c r="F921" i="5"/>
  <c r="E921" i="5"/>
  <c r="D921" i="5"/>
  <c r="C921" i="5"/>
  <c r="B921" i="5"/>
  <c r="A921" i="5"/>
  <c r="H920" i="5"/>
  <c r="G920" i="5"/>
  <c r="F920" i="5"/>
  <c r="E920" i="5"/>
  <c r="D920" i="5"/>
  <c r="C920" i="5"/>
  <c r="B920" i="5"/>
  <c r="A920" i="5"/>
  <c r="H919" i="5"/>
  <c r="G919" i="5"/>
  <c r="F919" i="5"/>
  <c r="E919" i="5"/>
  <c r="D919" i="5"/>
  <c r="C919" i="5"/>
  <c r="B919" i="5"/>
  <c r="A919" i="5"/>
  <c r="H918" i="5"/>
  <c r="G918" i="5"/>
  <c r="F918" i="5"/>
  <c r="E918" i="5"/>
  <c r="D918" i="5"/>
  <c r="C918" i="5"/>
  <c r="B918" i="5"/>
  <c r="A918" i="5"/>
  <c r="H917" i="5"/>
  <c r="G917" i="5"/>
  <c r="F917" i="5"/>
  <c r="E917" i="5"/>
  <c r="D917" i="5"/>
  <c r="C917" i="5"/>
  <c r="B917" i="5"/>
  <c r="A917" i="5"/>
  <c r="H916" i="5"/>
  <c r="G916" i="5"/>
  <c r="F916" i="5"/>
  <c r="E916" i="5"/>
  <c r="D916" i="5"/>
  <c r="C916" i="5"/>
  <c r="B916" i="5"/>
  <c r="A916" i="5"/>
  <c r="H915" i="5"/>
  <c r="G915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H913" i="5"/>
  <c r="G913" i="5"/>
  <c r="F913" i="5"/>
  <c r="E913" i="5"/>
  <c r="D913" i="5"/>
  <c r="C913" i="5"/>
  <c r="B913" i="5"/>
  <c r="A913" i="5"/>
  <c r="H912" i="5"/>
  <c r="G912" i="5"/>
  <c r="F912" i="5"/>
  <c r="E912" i="5"/>
  <c r="D912" i="5"/>
  <c r="C912" i="5"/>
  <c r="B912" i="5"/>
  <c r="A912" i="5"/>
  <c r="H911" i="5"/>
  <c r="G911" i="5"/>
  <c r="F911" i="5"/>
  <c r="E911" i="5"/>
  <c r="D911" i="5"/>
  <c r="C911" i="5"/>
  <c r="B911" i="5"/>
  <c r="A911" i="5"/>
  <c r="H910" i="5"/>
  <c r="G910" i="5"/>
  <c r="F910" i="5"/>
  <c r="E910" i="5"/>
  <c r="D910" i="5"/>
  <c r="C910" i="5"/>
  <c r="B910" i="5"/>
  <c r="A910" i="5"/>
  <c r="H909" i="5"/>
  <c r="G909" i="5"/>
  <c r="F909" i="5"/>
  <c r="E909" i="5"/>
  <c r="D909" i="5"/>
  <c r="C909" i="5"/>
  <c r="B909" i="5"/>
  <c r="A909" i="5"/>
  <c r="H908" i="5"/>
  <c r="G908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H906" i="5"/>
  <c r="G906" i="5"/>
  <c r="F906" i="5"/>
  <c r="E906" i="5"/>
  <c r="D906" i="5"/>
  <c r="C906" i="5"/>
  <c r="B906" i="5"/>
  <c r="A906" i="5"/>
  <c r="H905" i="5"/>
  <c r="G905" i="5"/>
  <c r="F905" i="5"/>
  <c r="E905" i="5"/>
  <c r="D905" i="5"/>
  <c r="C905" i="5"/>
  <c r="B905" i="5"/>
  <c r="A905" i="5"/>
  <c r="H904" i="5"/>
  <c r="G904" i="5"/>
  <c r="F904" i="5"/>
  <c r="E904" i="5"/>
  <c r="D904" i="5"/>
  <c r="C904" i="5"/>
  <c r="B904" i="5"/>
  <c r="A904" i="5"/>
  <c r="H903" i="5"/>
  <c r="G903" i="5"/>
  <c r="F903" i="5"/>
  <c r="E903" i="5"/>
  <c r="D903" i="5"/>
  <c r="C903" i="5"/>
  <c r="B903" i="5"/>
  <c r="A903" i="5"/>
  <c r="H902" i="5"/>
  <c r="G902" i="5"/>
  <c r="F902" i="5"/>
  <c r="E902" i="5"/>
  <c r="D902" i="5"/>
  <c r="C902" i="5"/>
  <c r="B902" i="5"/>
  <c r="A902" i="5"/>
  <c r="H901" i="5"/>
  <c r="G901" i="5"/>
  <c r="F901" i="5"/>
  <c r="E901" i="5"/>
  <c r="D901" i="5"/>
  <c r="C901" i="5"/>
  <c r="B901" i="5"/>
  <c r="A901" i="5"/>
  <c r="H900" i="5"/>
  <c r="G900" i="5"/>
  <c r="F900" i="5"/>
  <c r="E900" i="5"/>
  <c r="D900" i="5"/>
  <c r="C900" i="5"/>
  <c r="B900" i="5"/>
  <c r="A900" i="5"/>
  <c r="H899" i="5"/>
  <c r="G899" i="5"/>
  <c r="F899" i="5"/>
  <c r="E899" i="5"/>
  <c r="D899" i="5"/>
  <c r="C899" i="5"/>
  <c r="B899" i="5"/>
  <c r="A899" i="5"/>
  <c r="H898" i="5"/>
  <c r="G898" i="5"/>
  <c r="F898" i="5"/>
  <c r="E898" i="5"/>
  <c r="D898" i="5"/>
  <c r="C898" i="5"/>
  <c r="B898" i="5"/>
  <c r="A898" i="5"/>
  <c r="H897" i="5"/>
  <c r="G897" i="5"/>
  <c r="F897" i="5"/>
  <c r="E897" i="5"/>
  <c r="D897" i="5"/>
  <c r="C897" i="5"/>
  <c r="B897" i="5"/>
  <c r="A897" i="5"/>
  <c r="H896" i="5"/>
  <c r="G896" i="5"/>
  <c r="F896" i="5"/>
  <c r="E896" i="5"/>
  <c r="D896" i="5"/>
  <c r="C896" i="5"/>
  <c r="B896" i="5"/>
  <c r="A896" i="5"/>
  <c r="H895" i="5"/>
  <c r="G895" i="5"/>
  <c r="F895" i="5"/>
  <c r="E895" i="5"/>
  <c r="D895" i="5"/>
  <c r="C895" i="5"/>
  <c r="B895" i="5"/>
  <c r="A895" i="5"/>
  <c r="H894" i="5"/>
  <c r="G894" i="5"/>
  <c r="F894" i="5"/>
  <c r="E894" i="5"/>
  <c r="D894" i="5"/>
  <c r="C894" i="5"/>
  <c r="B894" i="5"/>
  <c r="A894" i="5"/>
  <c r="H893" i="5"/>
  <c r="G893" i="5"/>
  <c r="F893" i="5"/>
  <c r="E893" i="5"/>
  <c r="D893" i="5"/>
  <c r="C893" i="5"/>
  <c r="B893" i="5"/>
  <c r="A893" i="5"/>
  <c r="H892" i="5"/>
  <c r="G892" i="5"/>
  <c r="F892" i="5"/>
  <c r="E892" i="5"/>
  <c r="D892" i="5"/>
  <c r="C892" i="5"/>
  <c r="B892" i="5"/>
  <c r="A892" i="5"/>
  <c r="H891" i="5"/>
  <c r="G891" i="5"/>
  <c r="F891" i="5"/>
  <c r="E891" i="5"/>
  <c r="D891" i="5"/>
  <c r="C891" i="5"/>
  <c r="B891" i="5"/>
  <c r="A891" i="5"/>
  <c r="H890" i="5"/>
  <c r="G890" i="5"/>
  <c r="F890" i="5"/>
  <c r="E890" i="5"/>
  <c r="D890" i="5"/>
  <c r="C890" i="5"/>
  <c r="B890" i="5"/>
  <c r="A890" i="5"/>
  <c r="H889" i="5"/>
  <c r="G889" i="5"/>
  <c r="F889" i="5"/>
  <c r="E889" i="5"/>
  <c r="D889" i="5"/>
  <c r="C889" i="5"/>
  <c r="B889" i="5"/>
  <c r="A889" i="5"/>
  <c r="H888" i="5"/>
  <c r="G888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H886" i="5"/>
  <c r="G886" i="5"/>
  <c r="F886" i="5"/>
  <c r="E886" i="5"/>
  <c r="D886" i="5"/>
  <c r="C886" i="5"/>
  <c r="B886" i="5"/>
  <c r="A886" i="5"/>
  <c r="H885" i="5"/>
  <c r="G885" i="5"/>
  <c r="F885" i="5"/>
  <c r="E885" i="5"/>
  <c r="D885" i="5"/>
  <c r="C885" i="5"/>
  <c r="B885" i="5"/>
  <c r="A885" i="5"/>
  <c r="H884" i="5"/>
  <c r="G884" i="5"/>
  <c r="F884" i="5"/>
  <c r="E884" i="5"/>
  <c r="D884" i="5"/>
  <c r="C884" i="5"/>
  <c r="B884" i="5"/>
  <c r="A884" i="5"/>
  <c r="H883" i="5"/>
  <c r="G883" i="5"/>
  <c r="F883" i="5"/>
  <c r="E883" i="5"/>
  <c r="D883" i="5"/>
  <c r="C883" i="5"/>
  <c r="B883" i="5"/>
  <c r="A883" i="5"/>
  <c r="H882" i="5"/>
  <c r="G882" i="5"/>
  <c r="F882" i="5"/>
  <c r="E882" i="5"/>
  <c r="D882" i="5"/>
  <c r="C882" i="5"/>
  <c r="B882" i="5"/>
  <c r="A882" i="5"/>
  <c r="H881" i="5"/>
  <c r="G881" i="5"/>
  <c r="F881" i="5"/>
  <c r="E881" i="5"/>
  <c r="D881" i="5"/>
  <c r="C881" i="5"/>
  <c r="B881" i="5"/>
  <c r="A881" i="5"/>
  <c r="H880" i="5"/>
  <c r="G880" i="5"/>
  <c r="F880" i="5"/>
  <c r="E880" i="5"/>
  <c r="D880" i="5"/>
  <c r="C880" i="5"/>
  <c r="B880" i="5"/>
  <c r="A880" i="5"/>
  <c r="H879" i="5"/>
  <c r="G879" i="5"/>
  <c r="F879" i="5"/>
  <c r="E879" i="5"/>
  <c r="D879" i="5"/>
  <c r="C879" i="5"/>
  <c r="B879" i="5"/>
  <c r="A879" i="5"/>
  <c r="H878" i="5"/>
  <c r="G878" i="5"/>
  <c r="F878" i="5"/>
  <c r="E878" i="5"/>
  <c r="D878" i="5"/>
  <c r="C878" i="5"/>
  <c r="B878" i="5"/>
  <c r="A878" i="5"/>
  <c r="H877" i="5"/>
  <c r="G877" i="5"/>
  <c r="F877" i="5"/>
  <c r="E877" i="5"/>
  <c r="D877" i="5"/>
  <c r="C877" i="5"/>
  <c r="B877" i="5"/>
  <c r="A877" i="5"/>
  <c r="H876" i="5"/>
  <c r="G876" i="5"/>
  <c r="F876" i="5"/>
  <c r="E876" i="5"/>
  <c r="D876" i="5"/>
  <c r="C876" i="5"/>
  <c r="B876" i="5"/>
  <c r="A876" i="5"/>
  <c r="H875" i="5"/>
  <c r="G875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H873" i="5"/>
  <c r="G873" i="5"/>
  <c r="F873" i="5"/>
  <c r="E873" i="5"/>
  <c r="D873" i="5"/>
  <c r="C873" i="5"/>
  <c r="B873" i="5"/>
  <c r="A873" i="5"/>
  <c r="H872" i="5"/>
  <c r="G872" i="5"/>
  <c r="F872" i="5"/>
  <c r="E872" i="5"/>
  <c r="D872" i="5"/>
  <c r="C872" i="5"/>
  <c r="B872" i="5"/>
  <c r="A872" i="5"/>
  <c r="H871" i="5"/>
  <c r="G871" i="5"/>
  <c r="F871" i="5"/>
  <c r="E871" i="5"/>
  <c r="D871" i="5"/>
  <c r="C871" i="5"/>
  <c r="B871" i="5"/>
  <c r="A871" i="5"/>
  <c r="H870" i="5"/>
  <c r="G870" i="5"/>
  <c r="F870" i="5"/>
  <c r="E870" i="5"/>
  <c r="D870" i="5"/>
  <c r="C870" i="5"/>
  <c r="B870" i="5"/>
  <c r="A870" i="5"/>
  <c r="H869" i="5"/>
  <c r="G869" i="5"/>
  <c r="F869" i="5"/>
  <c r="E869" i="5"/>
  <c r="D869" i="5"/>
  <c r="C869" i="5"/>
  <c r="B869" i="5"/>
  <c r="A869" i="5"/>
  <c r="H868" i="5"/>
  <c r="G868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H865" i="5"/>
  <c r="G865" i="5"/>
  <c r="F865" i="5"/>
  <c r="E865" i="5"/>
  <c r="D865" i="5"/>
  <c r="C865" i="5"/>
  <c r="B865" i="5"/>
  <c r="A865" i="5"/>
  <c r="H864" i="5"/>
  <c r="G864" i="5"/>
  <c r="F864" i="5"/>
  <c r="E864" i="5"/>
  <c r="D864" i="5"/>
  <c r="C864" i="5"/>
  <c r="B864" i="5"/>
  <c r="A864" i="5"/>
  <c r="H863" i="5"/>
  <c r="G863" i="5"/>
  <c r="F863" i="5"/>
  <c r="E863" i="5"/>
  <c r="D863" i="5"/>
  <c r="C863" i="5"/>
  <c r="B863" i="5"/>
  <c r="A863" i="5"/>
  <c r="H862" i="5"/>
  <c r="G862" i="5"/>
  <c r="F862" i="5"/>
  <c r="E862" i="5"/>
  <c r="D862" i="5"/>
  <c r="C862" i="5"/>
  <c r="B862" i="5"/>
  <c r="A862" i="5"/>
  <c r="H861" i="5"/>
  <c r="G861" i="5"/>
  <c r="F861" i="5"/>
  <c r="E861" i="5"/>
  <c r="D861" i="5"/>
  <c r="C861" i="5"/>
  <c r="B861" i="5"/>
  <c r="A861" i="5"/>
  <c r="H860" i="5"/>
  <c r="G860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H857" i="5"/>
  <c r="G857" i="5"/>
  <c r="F857" i="5"/>
  <c r="E857" i="5"/>
  <c r="D857" i="5"/>
  <c r="C857" i="5"/>
  <c r="B857" i="5"/>
  <c r="A857" i="5"/>
  <c r="H856" i="5"/>
  <c r="G856" i="5"/>
  <c r="F856" i="5"/>
  <c r="E856" i="5"/>
  <c r="D856" i="5"/>
  <c r="C856" i="5"/>
  <c r="B856" i="5"/>
  <c r="A856" i="5"/>
  <c r="H855" i="5"/>
  <c r="G855" i="5"/>
  <c r="F855" i="5"/>
  <c r="E855" i="5"/>
  <c r="D855" i="5"/>
  <c r="C855" i="5"/>
  <c r="B855" i="5"/>
  <c r="A855" i="5"/>
  <c r="H854" i="5"/>
  <c r="G854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H852" i="5"/>
  <c r="G852" i="5"/>
  <c r="F852" i="5"/>
  <c r="E852" i="5"/>
  <c r="D852" i="5"/>
  <c r="C852" i="5"/>
  <c r="B852" i="5"/>
  <c r="A852" i="5"/>
  <c r="H851" i="5"/>
  <c r="G851" i="5"/>
  <c r="F851" i="5"/>
  <c r="E851" i="5"/>
  <c r="D851" i="5"/>
  <c r="C851" i="5"/>
  <c r="B851" i="5"/>
  <c r="A851" i="5"/>
  <c r="H850" i="5"/>
  <c r="G850" i="5"/>
  <c r="F850" i="5"/>
  <c r="E850" i="5"/>
  <c r="D850" i="5"/>
  <c r="C850" i="5"/>
  <c r="B850" i="5"/>
  <c r="A850" i="5"/>
  <c r="H849" i="5"/>
  <c r="G849" i="5"/>
  <c r="F849" i="5"/>
  <c r="E849" i="5"/>
  <c r="D849" i="5"/>
  <c r="C849" i="5"/>
  <c r="B849" i="5"/>
  <c r="A849" i="5"/>
  <c r="H848" i="5"/>
  <c r="G848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H844" i="5"/>
  <c r="G844" i="5"/>
  <c r="F844" i="5"/>
  <c r="E844" i="5"/>
  <c r="D844" i="5"/>
  <c r="C844" i="5"/>
  <c r="B844" i="5"/>
  <c r="A844" i="5"/>
  <c r="H843" i="5"/>
  <c r="G843" i="5"/>
  <c r="F843" i="5"/>
  <c r="E843" i="5"/>
  <c r="D843" i="5"/>
  <c r="C843" i="5"/>
  <c r="B843" i="5"/>
  <c r="A843" i="5"/>
  <c r="H842" i="5"/>
  <c r="G842" i="5"/>
  <c r="F842" i="5"/>
  <c r="E842" i="5"/>
  <c r="D842" i="5"/>
  <c r="C842" i="5"/>
  <c r="B842" i="5"/>
  <c r="A842" i="5"/>
  <c r="H841" i="5"/>
  <c r="G841" i="5"/>
  <c r="F841" i="5"/>
  <c r="E841" i="5"/>
  <c r="D841" i="5"/>
  <c r="C841" i="5"/>
  <c r="B841" i="5"/>
  <c r="A841" i="5"/>
  <c r="H840" i="5"/>
  <c r="G840" i="5"/>
  <c r="F840" i="5"/>
  <c r="E840" i="5"/>
  <c r="D840" i="5"/>
  <c r="C840" i="5"/>
  <c r="B840" i="5"/>
  <c r="A840" i="5"/>
  <c r="H839" i="5"/>
  <c r="G839" i="5"/>
  <c r="F839" i="5"/>
  <c r="E839" i="5"/>
  <c r="D839" i="5"/>
  <c r="C839" i="5"/>
  <c r="B839" i="5"/>
  <c r="A839" i="5"/>
  <c r="H838" i="5"/>
  <c r="G838" i="5"/>
  <c r="F838" i="5"/>
  <c r="E838" i="5"/>
  <c r="D838" i="5"/>
  <c r="C838" i="5"/>
  <c r="B838" i="5"/>
  <c r="A838" i="5"/>
  <c r="H837" i="5"/>
  <c r="G837" i="5"/>
  <c r="F837" i="5"/>
  <c r="E837" i="5"/>
  <c r="D837" i="5"/>
  <c r="C837" i="5"/>
  <c r="B837" i="5"/>
  <c r="A837" i="5"/>
  <c r="H836" i="5"/>
  <c r="G836" i="5"/>
  <c r="F836" i="5"/>
  <c r="E836" i="5"/>
  <c r="D836" i="5"/>
  <c r="C836" i="5"/>
  <c r="B836" i="5"/>
  <c r="A836" i="5"/>
  <c r="H835" i="5"/>
  <c r="G835" i="5"/>
  <c r="F835" i="5"/>
  <c r="E835" i="5"/>
  <c r="D835" i="5"/>
  <c r="C835" i="5"/>
  <c r="B835" i="5"/>
  <c r="A835" i="5"/>
  <c r="H834" i="5"/>
  <c r="G834" i="5"/>
  <c r="F834" i="5"/>
  <c r="E834" i="5"/>
  <c r="D834" i="5"/>
  <c r="C834" i="5"/>
  <c r="B834" i="5"/>
  <c r="A834" i="5"/>
  <c r="H833" i="5"/>
  <c r="G833" i="5"/>
  <c r="F833" i="5"/>
  <c r="E833" i="5"/>
  <c r="D833" i="5"/>
  <c r="C833" i="5"/>
  <c r="B833" i="5"/>
  <c r="A833" i="5"/>
  <c r="H832" i="5"/>
  <c r="G832" i="5"/>
  <c r="F832" i="5"/>
  <c r="E832" i="5"/>
  <c r="D832" i="5"/>
  <c r="C832" i="5"/>
  <c r="B832" i="5"/>
  <c r="A832" i="5"/>
  <c r="H831" i="5"/>
  <c r="G831" i="5"/>
  <c r="F831" i="5"/>
  <c r="E831" i="5"/>
  <c r="D831" i="5"/>
  <c r="C831" i="5"/>
  <c r="B831" i="5"/>
  <c r="A831" i="5"/>
  <c r="H830" i="5"/>
  <c r="G830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H828" i="5"/>
  <c r="G828" i="5"/>
  <c r="F828" i="5"/>
  <c r="E828" i="5"/>
  <c r="D828" i="5"/>
  <c r="C828" i="5"/>
  <c r="B828" i="5"/>
  <c r="A828" i="5"/>
  <c r="H827" i="5"/>
  <c r="G827" i="5"/>
  <c r="F827" i="5"/>
  <c r="E827" i="5"/>
  <c r="D827" i="5"/>
  <c r="C827" i="5"/>
  <c r="B827" i="5"/>
  <c r="A827" i="5"/>
  <c r="H826" i="5"/>
  <c r="G826" i="5"/>
  <c r="F826" i="5"/>
  <c r="E826" i="5"/>
  <c r="D826" i="5"/>
  <c r="C826" i="5"/>
  <c r="B826" i="5"/>
  <c r="A826" i="5"/>
  <c r="H825" i="5"/>
  <c r="G825" i="5"/>
  <c r="F825" i="5"/>
  <c r="E825" i="5"/>
  <c r="D825" i="5"/>
  <c r="C825" i="5"/>
  <c r="B825" i="5"/>
  <c r="A825" i="5"/>
  <c r="H824" i="5"/>
  <c r="G824" i="5"/>
  <c r="F824" i="5"/>
  <c r="E824" i="5"/>
  <c r="D824" i="5"/>
  <c r="C824" i="5"/>
  <c r="B824" i="5"/>
  <c r="A824" i="5"/>
  <c r="H823" i="5"/>
  <c r="G823" i="5"/>
  <c r="F823" i="5"/>
  <c r="E823" i="5"/>
  <c r="D823" i="5"/>
  <c r="C823" i="5"/>
  <c r="B823" i="5"/>
  <c r="A823" i="5"/>
  <c r="H822" i="5"/>
  <c r="G822" i="5"/>
  <c r="F822" i="5"/>
  <c r="E822" i="5"/>
  <c r="D822" i="5"/>
  <c r="C822" i="5"/>
  <c r="B822" i="5"/>
  <c r="A822" i="5"/>
  <c r="H821" i="5"/>
  <c r="G821" i="5"/>
  <c r="F821" i="5"/>
  <c r="E821" i="5"/>
  <c r="D821" i="5"/>
  <c r="C821" i="5"/>
  <c r="B821" i="5"/>
  <c r="A821" i="5"/>
  <c r="H820" i="5"/>
  <c r="G820" i="5"/>
  <c r="F820" i="5"/>
  <c r="E820" i="5"/>
  <c r="D820" i="5"/>
  <c r="C820" i="5"/>
  <c r="B820" i="5"/>
  <c r="A820" i="5"/>
  <c r="H819" i="5"/>
  <c r="G819" i="5"/>
  <c r="F819" i="5"/>
  <c r="E819" i="5"/>
  <c r="D819" i="5"/>
  <c r="C819" i="5"/>
  <c r="B819" i="5"/>
  <c r="A819" i="5"/>
  <c r="H818" i="5"/>
  <c r="G818" i="5"/>
  <c r="F818" i="5"/>
  <c r="E818" i="5"/>
  <c r="D818" i="5"/>
  <c r="C818" i="5"/>
  <c r="B818" i="5"/>
  <c r="A818" i="5"/>
  <c r="H817" i="5"/>
  <c r="G817" i="5"/>
  <c r="F817" i="5"/>
  <c r="E817" i="5"/>
  <c r="D817" i="5"/>
  <c r="C817" i="5"/>
  <c r="B817" i="5"/>
  <c r="A817" i="5"/>
  <c r="H816" i="5"/>
  <c r="G816" i="5"/>
  <c r="F816" i="5"/>
  <c r="E816" i="5"/>
  <c r="D816" i="5"/>
  <c r="C816" i="5"/>
  <c r="B816" i="5"/>
  <c r="A816" i="5"/>
  <c r="H815" i="5"/>
  <c r="G815" i="5"/>
  <c r="F815" i="5"/>
  <c r="E815" i="5"/>
  <c r="D815" i="5"/>
  <c r="C815" i="5"/>
  <c r="B815" i="5"/>
  <c r="A815" i="5"/>
  <c r="H814" i="5"/>
  <c r="G814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H812" i="5"/>
  <c r="G812" i="5"/>
  <c r="F812" i="5"/>
  <c r="E812" i="5"/>
  <c r="D812" i="5"/>
  <c r="C812" i="5"/>
  <c r="B812" i="5"/>
  <c r="A812" i="5"/>
  <c r="H811" i="5"/>
  <c r="G811" i="5"/>
  <c r="F811" i="5"/>
  <c r="E811" i="5"/>
  <c r="D811" i="5"/>
  <c r="C811" i="5"/>
  <c r="B811" i="5"/>
  <c r="A811" i="5"/>
  <c r="H810" i="5"/>
  <c r="G810" i="5"/>
  <c r="F810" i="5"/>
  <c r="E810" i="5"/>
  <c r="D810" i="5"/>
  <c r="C810" i="5"/>
  <c r="B810" i="5"/>
  <c r="A810" i="5"/>
  <c r="H809" i="5"/>
  <c r="G809" i="5"/>
  <c r="F809" i="5"/>
  <c r="E809" i="5"/>
  <c r="D809" i="5"/>
  <c r="C809" i="5"/>
  <c r="B809" i="5"/>
  <c r="A809" i="5"/>
  <c r="H808" i="5"/>
  <c r="G808" i="5"/>
  <c r="F808" i="5"/>
  <c r="E808" i="5"/>
  <c r="D808" i="5"/>
  <c r="C808" i="5"/>
  <c r="B808" i="5"/>
  <c r="A808" i="5"/>
  <c r="H807" i="5"/>
  <c r="G807" i="5"/>
  <c r="F807" i="5"/>
  <c r="E807" i="5"/>
  <c r="D807" i="5"/>
  <c r="C807" i="5"/>
  <c r="B807" i="5"/>
  <c r="A807" i="5"/>
  <c r="H806" i="5"/>
  <c r="G806" i="5"/>
  <c r="F806" i="5"/>
  <c r="E806" i="5"/>
  <c r="D806" i="5"/>
  <c r="C806" i="5"/>
  <c r="B806" i="5"/>
  <c r="A806" i="5"/>
  <c r="H805" i="5"/>
  <c r="G805" i="5"/>
  <c r="F805" i="5"/>
  <c r="E805" i="5"/>
  <c r="D805" i="5"/>
  <c r="C805" i="5"/>
  <c r="B805" i="5"/>
  <c r="A805" i="5"/>
  <c r="H804" i="5"/>
  <c r="G804" i="5"/>
  <c r="F804" i="5"/>
  <c r="E804" i="5"/>
  <c r="D804" i="5"/>
  <c r="C804" i="5"/>
  <c r="B804" i="5"/>
  <c r="A804" i="5"/>
  <c r="H803" i="5"/>
  <c r="G803" i="5"/>
  <c r="F803" i="5"/>
  <c r="E803" i="5"/>
  <c r="D803" i="5"/>
  <c r="C803" i="5"/>
  <c r="B803" i="5"/>
  <c r="A803" i="5"/>
  <c r="H802" i="5"/>
  <c r="G802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H800" i="5"/>
  <c r="G800" i="5"/>
  <c r="F800" i="5"/>
  <c r="E800" i="5"/>
  <c r="D800" i="5"/>
  <c r="C800" i="5"/>
  <c r="B800" i="5"/>
  <c r="A800" i="5"/>
  <c r="H799" i="5"/>
  <c r="G799" i="5"/>
  <c r="F799" i="5"/>
  <c r="E799" i="5"/>
  <c r="D799" i="5"/>
  <c r="C799" i="5"/>
  <c r="B799" i="5"/>
  <c r="A799" i="5"/>
  <c r="H798" i="5"/>
  <c r="G798" i="5"/>
  <c r="F798" i="5"/>
  <c r="E798" i="5"/>
  <c r="D798" i="5"/>
  <c r="C798" i="5"/>
  <c r="B798" i="5"/>
  <c r="A798" i="5"/>
  <c r="H797" i="5"/>
  <c r="G797" i="5"/>
  <c r="F797" i="5"/>
  <c r="E797" i="5"/>
  <c r="D797" i="5"/>
  <c r="C797" i="5"/>
  <c r="B797" i="5"/>
  <c r="A797" i="5"/>
  <c r="H796" i="5"/>
  <c r="G796" i="5"/>
  <c r="F796" i="5"/>
  <c r="E796" i="5"/>
  <c r="D796" i="5"/>
  <c r="C796" i="5"/>
  <c r="B796" i="5"/>
  <c r="A796" i="5"/>
  <c r="H795" i="5"/>
  <c r="G795" i="5"/>
  <c r="F795" i="5"/>
  <c r="E795" i="5"/>
  <c r="D795" i="5"/>
  <c r="C795" i="5"/>
  <c r="B795" i="5"/>
  <c r="A795" i="5"/>
  <c r="H794" i="5"/>
  <c r="G794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H791" i="5"/>
  <c r="G791" i="5"/>
  <c r="F791" i="5"/>
  <c r="E791" i="5"/>
  <c r="D791" i="5"/>
  <c r="C791" i="5"/>
  <c r="B791" i="5"/>
  <c r="A791" i="5"/>
  <c r="H790" i="5"/>
  <c r="G790" i="5"/>
  <c r="F790" i="5"/>
  <c r="E790" i="5"/>
  <c r="D790" i="5"/>
  <c r="C790" i="5"/>
  <c r="B790" i="5"/>
  <c r="A790" i="5"/>
  <c r="H789" i="5"/>
  <c r="G789" i="5"/>
  <c r="F789" i="5"/>
  <c r="E789" i="5"/>
  <c r="D789" i="5"/>
  <c r="C789" i="5"/>
  <c r="B789" i="5"/>
  <c r="A789" i="5"/>
  <c r="H788" i="5"/>
  <c r="G788" i="5"/>
  <c r="F788" i="5"/>
  <c r="E788" i="5"/>
  <c r="D788" i="5"/>
  <c r="C788" i="5"/>
  <c r="B788" i="5"/>
  <c r="A788" i="5"/>
  <c r="H787" i="5"/>
  <c r="G787" i="5"/>
  <c r="F787" i="5"/>
  <c r="E787" i="5"/>
  <c r="D787" i="5"/>
  <c r="C787" i="5"/>
  <c r="B787" i="5"/>
  <c r="A787" i="5"/>
  <c r="H786" i="5"/>
  <c r="G786" i="5"/>
  <c r="F786" i="5"/>
  <c r="E786" i="5"/>
  <c r="D786" i="5"/>
  <c r="C786" i="5"/>
  <c r="B786" i="5"/>
  <c r="A786" i="5"/>
  <c r="H785" i="5"/>
  <c r="G785" i="5"/>
  <c r="F785" i="5"/>
  <c r="E785" i="5"/>
  <c r="D785" i="5"/>
  <c r="C785" i="5"/>
  <c r="B785" i="5"/>
  <c r="A785" i="5"/>
  <c r="H784" i="5"/>
  <c r="G784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H781" i="5"/>
  <c r="G781" i="5"/>
  <c r="F781" i="5"/>
  <c r="E781" i="5"/>
  <c r="D781" i="5"/>
  <c r="C781" i="5"/>
  <c r="B781" i="5"/>
  <c r="A781" i="5"/>
  <c r="H780" i="5"/>
  <c r="G780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H778" i="5"/>
  <c r="G778" i="5"/>
  <c r="F778" i="5"/>
  <c r="E778" i="5"/>
  <c r="D778" i="5"/>
  <c r="C778" i="5"/>
  <c r="B778" i="5"/>
  <c r="A778" i="5"/>
  <c r="H777" i="5"/>
  <c r="G777" i="5"/>
  <c r="F777" i="5"/>
  <c r="E777" i="5"/>
  <c r="D777" i="5"/>
  <c r="C777" i="5"/>
  <c r="B777" i="5"/>
  <c r="A777" i="5"/>
  <c r="H776" i="5"/>
  <c r="G776" i="5"/>
  <c r="F776" i="5"/>
  <c r="E776" i="5"/>
  <c r="D776" i="5"/>
  <c r="C776" i="5"/>
  <c r="B776" i="5"/>
  <c r="A776" i="5"/>
  <c r="H775" i="5"/>
  <c r="G775" i="5"/>
  <c r="F775" i="5"/>
  <c r="E775" i="5"/>
  <c r="D775" i="5"/>
  <c r="C775" i="5"/>
  <c r="B775" i="5"/>
  <c r="A775" i="5"/>
  <c r="H774" i="5"/>
  <c r="G774" i="5"/>
  <c r="F774" i="5"/>
  <c r="E774" i="5"/>
  <c r="D774" i="5"/>
  <c r="C774" i="5"/>
  <c r="B774" i="5"/>
  <c r="A774" i="5"/>
  <c r="H773" i="5"/>
  <c r="G773" i="5"/>
  <c r="F773" i="5"/>
  <c r="E773" i="5"/>
  <c r="D773" i="5"/>
  <c r="C773" i="5"/>
  <c r="B773" i="5"/>
  <c r="A773" i="5"/>
  <c r="H772" i="5"/>
  <c r="G772" i="5"/>
  <c r="F772" i="5"/>
  <c r="E772" i="5"/>
  <c r="D772" i="5"/>
  <c r="C772" i="5"/>
  <c r="B772" i="5"/>
  <c r="A772" i="5"/>
  <c r="H771" i="5"/>
  <c r="G771" i="5"/>
  <c r="F771" i="5"/>
  <c r="E771" i="5"/>
  <c r="D771" i="5"/>
  <c r="C771" i="5"/>
  <c r="B771" i="5"/>
  <c r="A771" i="5"/>
  <c r="H770" i="5"/>
  <c r="G770" i="5"/>
  <c r="F770" i="5"/>
  <c r="E770" i="5"/>
  <c r="D770" i="5"/>
  <c r="C770" i="5"/>
  <c r="B770" i="5"/>
  <c r="A770" i="5"/>
  <c r="H769" i="5"/>
  <c r="G769" i="5"/>
  <c r="F769" i="5"/>
  <c r="E769" i="5"/>
  <c r="D769" i="5"/>
  <c r="C769" i="5"/>
  <c r="B769" i="5"/>
  <c r="A769" i="5"/>
  <c r="H768" i="5"/>
  <c r="G768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H766" i="5"/>
  <c r="G766" i="5"/>
  <c r="F766" i="5"/>
  <c r="E766" i="5"/>
  <c r="D766" i="5"/>
  <c r="C766" i="5"/>
  <c r="B766" i="5"/>
  <c r="A766" i="5"/>
  <c r="H765" i="5"/>
  <c r="G765" i="5"/>
  <c r="F765" i="5"/>
  <c r="E765" i="5"/>
  <c r="D765" i="5"/>
  <c r="C765" i="5"/>
  <c r="B765" i="5"/>
  <c r="A765" i="5"/>
  <c r="H764" i="5"/>
  <c r="G764" i="5"/>
  <c r="F764" i="5"/>
  <c r="E764" i="5"/>
  <c r="D764" i="5"/>
  <c r="C764" i="5"/>
  <c r="B764" i="5"/>
  <c r="A764" i="5"/>
  <c r="H763" i="5"/>
  <c r="G763" i="5"/>
  <c r="F763" i="5"/>
  <c r="E763" i="5"/>
  <c r="D763" i="5"/>
  <c r="C763" i="5"/>
  <c r="B763" i="5"/>
  <c r="A763" i="5"/>
  <c r="H762" i="5"/>
  <c r="G762" i="5"/>
  <c r="F762" i="5"/>
  <c r="E762" i="5"/>
  <c r="D762" i="5"/>
  <c r="C762" i="5"/>
  <c r="B762" i="5"/>
  <c r="A762" i="5"/>
  <c r="H761" i="5"/>
  <c r="G761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H759" i="5"/>
  <c r="G759" i="5"/>
  <c r="F759" i="5"/>
  <c r="E759" i="5"/>
  <c r="D759" i="5"/>
  <c r="C759" i="5"/>
  <c r="B759" i="5"/>
  <c r="A759" i="5"/>
  <c r="H758" i="5"/>
  <c r="G758" i="5"/>
  <c r="F758" i="5"/>
  <c r="E758" i="5"/>
  <c r="D758" i="5"/>
  <c r="C758" i="5"/>
  <c r="B758" i="5"/>
  <c r="A758" i="5"/>
  <c r="H757" i="5"/>
  <c r="G757" i="5"/>
  <c r="F757" i="5"/>
  <c r="E757" i="5"/>
  <c r="D757" i="5"/>
  <c r="C757" i="5"/>
  <c r="B757" i="5"/>
  <c r="A757" i="5"/>
  <c r="H756" i="5"/>
  <c r="G756" i="5"/>
  <c r="F756" i="5"/>
  <c r="E756" i="5"/>
  <c r="D756" i="5"/>
  <c r="C756" i="5"/>
  <c r="B756" i="5"/>
  <c r="A756" i="5"/>
  <c r="H755" i="5"/>
  <c r="G755" i="5"/>
  <c r="F755" i="5"/>
  <c r="E755" i="5"/>
  <c r="D755" i="5"/>
  <c r="C755" i="5"/>
  <c r="B755" i="5"/>
  <c r="A755" i="5"/>
  <c r="H754" i="5"/>
  <c r="G754" i="5"/>
  <c r="F754" i="5"/>
  <c r="E754" i="5"/>
  <c r="D754" i="5"/>
  <c r="C754" i="5"/>
  <c r="B754" i="5"/>
  <c r="A754" i="5"/>
  <c r="H753" i="5"/>
  <c r="G753" i="5"/>
  <c r="F753" i="5"/>
  <c r="E753" i="5"/>
  <c r="D753" i="5"/>
  <c r="C753" i="5"/>
  <c r="B753" i="5"/>
  <c r="A753" i="5"/>
  <c r="H752" i="5"/>
  <c r="G752" i="5"/>
  <c r="F752" i="5"/>
  <c r="E752" i="5"/>
  <c r="D752" i="5"/>
  <c r="C752" i="5"/>
  <c r="B752" i="5"/>
  <c r="A752" i="5"/>
  <c r="H751" i="5"/>
  <c r="G751" i="5"/>
  <c r="F751" i="5"/>
  <c r="E751" i="5"/>
  <c r="D751" i="5"/>
  <c r="C751" i="5"/>
  <c r="B751" i="5"/>
  <c r="A751" i="5"/>
  <c r="H750" i="5"/>
  <c r="G750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H747" i="5"/>
  <c r="G747" i="5"/>
  <c r="F747" i="5"/>
  <c r="E747" i="5"/>
  <c r="D747" i="5"/>
  <c r="C747" i="5"/>
  <c r="B747" i="5"/>
  <c r="A747" i="5"/>
  <c r="H746" i="5"/>
  <c r="G746" i="5"/>
  <c r="F746" i="5"/>
  <c r="E746" i="5"/>
  <c r="D746" i="5"/>
  <c r="C746" i="5"/>
  <c r="B746" i="5"/>
  <c r="A746" i="5"/>
  <c r="H745" i="5"/>
  <c r="G745" i="5"/>
  <c r="F745" i="5"/>
  <c r="E745" i="5"/>
  <c r="D745" i="5"/>
  <c r="C745" i="5"/>
  <c r="B745" i="5"/>
  <c r="A745" i="5"/>
  <c r="H744" i="5"/>
  <c r="G744" i="5"/>
  <c r="F744" i="5"/>
  <c r="E744" i="5"/>
  <c r="D744" i="5"/>
  <c r="C744" i="5"/>
  <c r="B744" i="5"/>
  <c r="A744" i="5"/>
  <c r="H743" i="5"/>
  <c r="G743" i="5"/>
  <c r="F743" i="5"/>
  <c r="E743" i="5"/>
  <c r="D743" i="5"/>
  <c r="C743" i="5"/>
  <c r="B743" i="5"/>
  <c r="A743" i="5"/>
  <c r="H742" i="5"/>
  <c r="G742" i="5"/>
  <c r="F742" i="5"/>
  <c r="E742" i="5"/>
  <c r="D742" i="5"/>
  <c r="C742" i="5"/>
  <c r="B742" i="5"/>
  <c r="A742" i="5"/>
  <c r="H741" i="5"/>
  <c r="G741" i="5"/>
  <c r="F741" i="5"/>
  <c r="E741" i="5"/>
  <c r="D741" i="5"/>
  <c r="C741" i="5"/>
  <c r="B741" i="5"/>
  <c r="A741" i="5"/>
  <c r="H740" i="5"/>
  <c r="G740" i="5"/>
  <c r="F740" i="5"/>
  <c r="E740" i="5"/>
  <c r="D740" i="5"/>
  <c r="C740" i="5"/>
  <c r="B740" i="5"/>
  <c r="A740" i="5"/>
  <c r="H739" i="5"/>
  <c r="G739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H737" i="5"/>
  <c r="G737" i="5"/>
  <c r="F737" i="5"/>
  <c r="E737" i="5"/>
  <c r="D737" i="5"/>
  <c r="C737" i="5"/>
  <c r="B737" i="5"/>
  <c r="A737" i="5"/>
  <c r="H736" i="5"/>
  <c r="G736" i="5"/>
  <c r="F736" i="5"/>
  <c r="E736" i="5"/>
  <c r="D736" i="5"/>
  <c r="C736" i="5"/>
  <c r="B736" i="5"/>
  <c r="A736" i="5"/>
  <c r="H735" i="5"/>
  <c r="G735" i="5"/>
  <c r="F735" i="5"/>
  <c r="E735" i="5"/>
  <c r="D735" i="5"/>
  <c r="C735" i="5"/>
  <c r="B735" i="5"/>
  <c r="A735" i="5"/>
  <c r="H734" i="5"/>
  <c r="G734" i="5"/>
  <c r="F734" i="5"/>
  <c r="E734" i="5"/>
  <c r="D734" i="5"/>
  <c r="C734" i="5"/>
  <c r="B734" i="5"/>
  <c r="A734" i="5"/>
  <c r="H733" i="5"/>
  <c r="G733" i="5"/>
  <c r="F733" i="5"/>
  <c r="E733" i="5"/>
  <c r="D733" i="5"/>
  <c r="C733" i="5"/>
  <c r="B733" i="5"/>
  <c r="A733" i="5"/>
  <c r="H732" i="5"/>
  <c r="G732" i="5"/>
  <c r="F732" i="5"/>
  <c r="E732" i="5"/>
  <c r="D732" i="5"/>
  <c r="C732" i="5"/>
  <c r="B732" i="5"/>
  <c r="A732" i="5"/>
  <c r="H731" i="5"/>
  <c r="G731" i="5"/>
  <c r="F731" i="5"/>
  <c r="E731" i="5"/>
  <c r="D731" i="5"/>
  <c r="C731" i="5"/>
  <c r="B731" i="5"/>
  <c r="A731" i="5"/>
  <c r="H730" i="5"/>
  <c r="G730" i="5"/>
  <c r="F730" i="5"/>
  <c r="E730" i="5"/>
  <c r="D730" i="5"/>
  <c r="C730" i="5"/>
  <c r="B730" i="5"/>
  <c r="A730" i="5"/>
  <c r="H729" i="5"/>
  <c r="G729" i="5"/>
  <c r="F729" i="5"/>
  <c r="E729" i="5"/>
  <c r="D729" i="5"/>
  <c r="C729" i="5"/>
  <c r="B729" i="5"/>
  <c r="A729" i="5"/>
  <c r="H728" i="5"/>
  <c r="G728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H724" i="5"/>
  <c r="G724" i="5"/>
  <c r="F724" i="5"/>
  <c r="E724" i="5"/>
  <c r="D724" i="5"/>
  <c r="C724" i="5"/>
  <c r="B724" i="5"/>
  <c r="A724" i="5"/>
  <c r="H723" i="5"/>
  <c r="G723" i="5"/>
  <c r="F723" i="5"/>
  <c r="E723" i="5"/>
  <c r="D723" i="5"/>
  <c r="C723" i="5"/>
  <c r="B723" i="5"/>
  <c r="A723" i="5"/>
  <c r="H722" i="5"/>
  <c r="G722" i="5"/>
  <c r="F722" i="5"/>
  <c r="E722" i="5"/>
  <c r="D722" i="5"/>
  <c r="C722" i="5"/>
  <c r="B722" i="5"/>
  <c r="A722" i="5"/>
  <c r="H721" i="5"/>
  <c r="G721" i="5"/>
  <c r="F721" i="5"/>
  <c r="E721" i="5"/>
  <c r="D721" i="5"/>
  <c r="C721" i="5"/>
  <c r="B721" i="5"/>
  <c r="A721" i="5"/>
  <c r="H720" i="5"/>
  <c r="G720" i="5"/>
  <c r="F720" i="5"/>
  <c r="E720" i="5"/>
  <c r="D720" i="5"/>
  <c r="C720" i="5"/>
  <c r="B720" i="5"/>
  <c r="A720" i="5"/>
  <c r="H719" i="5"/>
  <c r="G719" i="5"/>
  <c r="F719" i="5"/>
  <c r="E719" i="5"/>
  <c r="D719" i="5"/>
  <c r="C719" i="5"/>
  <c r="B719" i="5"/>
  <c r="A719" i="5"/>
  <c r="H718" i="5"/>
  <c r="G718" i="5"/>
  <c r="F718" i="5"/>
  <c r="E718" i="5"/>
  <c r="D718" i="5"/>
  <c r="C718" i="5"/>
  <c r="B718" i="5"/>
  <c r="A718" i="5"/>
  <c r="H717" i="5"/>
  <c r="G717" i="5"/>
  <c r="F717" i="5"/>
  <c r="E717" i="5"/>
  <c r="D717" i="5"/>
  <c r="C717" i="5"/>
  <c r="B717" i="5"/>
  <c r="A717" i="5"/>
  <c r="H716" i="5"/>
  <c r="G716" i="5"/>
  <c r="F716" i="5"/>
  <c r="E716" i="5"/>
  <c r="D716" i="5"/>
  <c r="C716" i="5"/>
  <c r="B716" i="5"/>
  <c r="A716" i="5"/>
  <c r="H715" i="5"/>
  <c r="G715" i="5"/>
  <c r="F715" i="5"/>
  <c r="E715" i="5"/>
  <c r="D715" i="5"/>
  <c r="C715" i="5"/>
  <c r="B715" i="5"/>
  <c r="A715" i="5"/>
  <c r="H714" i="5"/>
  <c r="G714" i="5"/>
  <c r="F714" i="5"/>
  <c r="E714" i="5"/>
  <c r="D714" i="5"/>
  <c r="C714" i="5"/>
  <c r="B714" i="5"/>
  <c r="A714" i="5"/>
  <c r="H713" i="5"/>
  <c r="G713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H710" i="5"/>
  <c r="G710" i="5"/>
  <c r="F710" i="5"/>
  <c r="E710" i="5"/>
  <c r="D710" i="5"/>
  <c r="C710" i="5"/>
  <c r="B710" i="5"/>
  <c r="A710" i="5"/>
  <c r="H709" i="5"/>
  <c r="G709" i="5"/>
  <c r="F709" i="5"/>
  <c r="E709" i="5"/>
  <c r="D709" i="5"/>
  <c r="C709" i="5"/>
  <c r="B709" i="5"/>
  <c r="A709" i="5"/>
  <c r="H708" i="5"/>
  <c r="G708" i="5"/>
  <c r="F708" i="5"/>
  <c r="E708" i="5"/>
  <c r="D708" i="5"/>
  <c r="C708" i="5"/>
  <c r="B708" i="5"/>
  <c r="A708" i="5"/>
  <c r="H707" i="5"/>
  <c r="G707" i="5"/>
  <c r="F707" i="5"/>
  <c r="E707" i="5"/>
  <c r="D707" i="5"/>
  <c r="C707" i="5"/>
  <c r="B707" i="5"/>
  <c r="A707" i="5"/>
  <c r="H706" i="5"/>
  <c r="G706" i="5"/>
  <c r="F706" i="5"/>
  <c r="E706" i="5"/>
  <c r="D706" i="5"/>
  <c r="C706" i="5"/>
  <c r="B706" i="5"/>
  <c r="A706" i="5"/>
  <c r="H705" i="5"/>
  <c r="G705" i="5"/>
  <c r="F705" i="5"/>
  <c r="E705" i="5"/>
  <c r="D705" i="5"/>
  <c r="C705" i="5"/>
  <c r="B705" i="5"/>
  <c r="A705" i="5"/>
  <c r="H704" i="5"/>
  <c r="G704" i="5"/>
  <c r="F704" i="5"/>
  <c r="E704" i="5"/>
  <c r="D704" i="5"/>
  <c r="C704" i="5"/>
  <c r="B704" i="5"/>
  <c r="A704" i="5"/>
  <c r="H703" i="5"/>
  <c r="G703" i="5"/>
  <c r="F703" i="5"/>
  <c r="E703" i="5"/>
  <c r="D703" i="5"/>
  <c r="C703" i="5"/>
  <c r="B703" i="5"/>
  <c r="A703" i="5"/>
  <c r="H702" i="5"/>
  <c r="G702" i="5"/>
  <c r="F702" i="5"/>
  <c r="E702" i="5"/>
  <c r="D702" i="5"/>
  <c r="C702" i="5"/>
  <c r="B702" i="5"/>
  <c r="A702" i="5"/>
  <c r="H701" i="5"/>
  <c r="G701" i="5"/>
  <c r="F701" i="5"/>
  <c r="E701" i="5"/>
  <c r="D701" i="5"/>
  <c r="C701" i="5"/>
  <c r="B701" i="5"/>
  <c r="A701" i="5"/>
  <c r="H700" i="5"/>
  <c r="G700" i="5"/>
  <c r="F700" i="5"/>
  <c r="E700" i="5"/>
  <c r="D700" i="5"/>
  <c r="C700" i="5"/>
  <c r="B700" i="5"/>
  <c r="A700" i="5"/>
  <c r="H699" i="5"/>
  <c r="G699" i="5"/>
  <c r="F699" i="5"/>
  <c r="E699" i="5"/>
  <c r="D699" i="5"/>
  <c r="C699" i="5"/>
  <c r="B699" i="5"/>
  <c r="A699" i="5"/>
  <c r="H698" i="5"/>
  <c r="G698" i="5"/>
  <c r="F698" i="5"/>
  <c r="E698" i="5"/>
  <c r="D698" i="5"/>
  <c r="C698" i="5"/>
  <c r="B698" i="5"/>
  <c r="A698" i="5"/>
  <c r="H697" i="5"/>
  <c r="G697" i="5"/>
  <c r="F697" i="5"/>
  <c r="E697" i="5"/>
  <c r="D697" i="5"/>
  <c r="C697" i="5"/>
  <c r="B697" i="5"/>
  <c r="A697" i="5"/>
  <c r="H696" i="5"/>
  <c r="G696" i="5"/>
  <c r="F696" i="5"/>
  <c r="E696" i="5"/>
  <c r="D696" i="5"/>
  <c r="C696" i="5"/>
  <c r="B696" i="5"/>
  <c r="A696" i="5"/>
  <c r="H695" i="5"/>
  <c r="G695" i="5"/>
  <c r="F695" i="5"/>
  <c r="E695" i="5"/>
  <c r="D695" i="5"/>
  <c r="C695" i="5"/>
  <c r="B695" i="5"/>
  <c r="A695" i="5"/>
  <c r="H694" i="5"/>
  <c r="G694" i="5"/>
  <c r="F694" i="5"/>
  <c r="E694" i="5"/>
  <c r="D694" i="5"/>
  <c r="C694" i="5"/>
  <c r="B694" i="5"/>
  <c r="A694" i="5"/>
  <c r="H693" i="5"/>
  <c r="G693" i="5"/>
  <c r="F693" i="5"/>
  <c r="E693" i="5"/>
  <c r="D693" i="5"/>
  <c r="C693" i="5"/>
  <c r="B693" i="5"/>
  <c r="A693" i="5"/>
  <c r="H692" i="5"/>
  <c r="G692" i="5"/>
  <c r="F692" i="5"/>
  <c r="E692" i="5"/>
  <c r="D692" i="5"/>
  <c r="C692" i="5"/>
  <c r="B692" i="5"/>
  <c r="A692" i="5"/>
  <c r="H691" i="5"/>
  <c r="G691" i="5"/>
  <c r="F691" i="5"/>
  <c r="E691" i="5"/>
  <c r="D691" i="5"/>
  <c r="C691" i="5"/>
  <c r="B691" i="5"/>
  <c r="A691" i="5"/>
  <c r="H690" i="5"/>
  <c r="G690" i="5"/>
  <c r="F690" i="5"/>
  <c r="E690" i="5"/>
  <c r="D690" i="5"/>
  <c r="C690" i="5"/>
  <c r="B690" i="5"/>
  <c r="A690" i="5"/>
  <c r="H689" i="5"/>
  <c r="G689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H686" i="5"/>
  <c r="G686" i="5"/>
  <c r="F686" i="5"/>
  <c r="E686" i="5"/>
  <c r="D686" i="5"/>
  <c r="C686" i="5"/>
  <c r="B686" i="5"/>
  <c r="A686" i="5"/>
  <c r="H685" i="5"/>
  <c r="G685" i="5"/>
  <c r="F685" i="5"/>
  <c r="E685" i="5"/>
  <c r="D685" i="5"/>
  <c r="C685" i="5"/>
  <c r="B685" i="5"/>
  <c r="A685" i="5"/>
  <c r="H684" i="5"/>
  <c r="G684" i="5"/>
  <c r="F684" i="5"/>
  <c r="E684" i="5"/>
  <c r="D684" i="5"/>
  <c r="C684" i="5"/>
  <c r="B684" i="5"/>
  <c r="A684" i="5"/>
  <c r="H683" i="5"/>
  <c r="G683" i="5"/>
  <c r="F683" i="5"/>
  <c r="E683" i="5"/>
  <c r="D683" i="5"/>
  <c r="C683" i="5"/>
  <c r="B683" i="5"/>
  <c r="A683" i="5"/>
  <c r="H682" i="5"/>
  <c r="G682" i="5"/>
  <c r="F682" i="5"/>
  <c r="E682" i="5"/>
  <c r="D682" i="5"/>
  <c r="C682" i="5"/>
  <c r="B682" i="5"/>
  <c r="A682" i="5"/>
  <c r="H681" i="5"/>
  <c r="G681" i="5"/>
  <c r="F681" i="5"/>
  <c r="E681" i="5"/>
  <c r="D681" i="5"/>
  <c r="C681" i="5"/>
  <c r="B681" i="5"/>
  <c r="A681" i="5"/>
  <c r="H680" i="5"/>
  <c r="G680" i="5"/>
  <c r="F680" i="5"/>
  <c r="E680" i="5"/>
  <c r="D680" i="5"/>
  <c r="C680" i="5"/>
  <c r="B680" i="5"/>
  <c r="A680" i="5"/>
  <c r="H679" i="5"/>
  <c r="G679" i="5"/>
  <c r="F679" i="5"/>
  <c r="E679" i="5"/>
  <c r="D679" i="5"/>
  <c r="C679" i="5"/>
  <c r="B679" i="5"/>
  <c r="A679" i="5"/>
  <c r="H678" i="5"/>
  <c r="G678" i="5"/>
  <c r="F678" i="5"/>
  <c r="E678" i="5"/>
  <c r="D678" i="5"/>
  <c r="C678" i="5"/>
  <c r="B678" i="5"/>
  <c r="A678" i="5"/>
  <c r="H677" i="5"/>
  <c r="G677" i="5"/>
  <c r="F677" i="5"/>
  <c r="E677" i="5"/>
  <c r="D677" i="5"/>
  <c r="C677" i="5"/>
  <c r="B677" i="5"/>
  <c r="A677" i="5"/>
  <c r="H676" i="5"/>
  <c r="G676" i="5"/>
  <c r="F676" i="5"/>
  <c r="E676" i="5"/>
  <c r="D676" i="5"/>
  <c r="C676" i="5"/>
  <c r="B676" i="5"/>
  <c r="A676" i="5"/>
  <c r="H675" i="5"/>
  <c r="G675" i="5"/>
  <c r="F675" i="5"/>
  <c r="E675" i="5"/>
  <c r="D675" i="5"/>
  <c r="C675" i="5"/>
  <c r="B675" i="5"/>
  <c r="A675" i="5"/>
  <c r="H674" i="5"/>
  <c r="G674" i="5"/>
  <c r="F674" i="5"/>
  <c r="E674" i="5"/>
  <c r="D674" i="5"/>
  <c r="C674" i="5"/>
  <c r="B674" i="5"/>
  <c r="A674" i="5"/>
  <c r="H673" i="5"/>
  <c r="G673" i="5"/>
  <c r="F673" i="5"/>
  <c r="E673" i="5"/>
  <c r="D673" i="5"/>
  <c r="C673" i="5"/>
  <c r="B673" i="5"/>
  <c r="A673" i="5"/>
  <c r="H672" i="5"/>
  <c r="G672" i="5"/>
  <c r="F672" i="5"/>
  <c r="E672" i="5"/>
  <c r="D672" i="5"/>
  <c r="C672" i="5"/>
  <c r="B672" i="5"/>
  <c r="A672" i="5"/>
  <c r="H671" i="5"/>
  <c r="G671" i="5"/>
  <c r="F671" i="5"/>
  <c r="E671" i="5"/>
  <c r="D671" i="5"/>
  <c r="C671" i="5"/>
  <c r="B671" i="5"/>
  <c r="A671" i="5"/>
  <c r="H670" i="5"/>
  <c r="G670" i="5"/>
  <c r="F670" i="5"/>
  <c r="E670" i="5"/>
  <c r="D670" i="5"/>
  <c r="C670" i="5"/>
  <c r="B670" i="5"/>
  <c r="A670" i="5"/>
  <c r="H669" i="5"/>
  <c r="G669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H667" i="5"/>
  <c r="G667" i="5"/>
  <c r="F667" i="5"/>
  <c r="E667" i="5"/>
  <c r="D667" i="5"/>
  <c r="C667" i="5"/>
  <c r="B667" i="5"/>
  <c r="A667" i="5"/>
  <c r="H666" i="5"/>
  <c r="G666" i="5"/>
  <c r="F666" i="5"/>
  <c r="E666" i="5"/>
  <c r="D666" i="5"/>
  <c r="C666" i="5"/>
  <c r="B666" i="5"/>
  <c r="A666" i="5"/>
  <c r="H665" i="5"/>
  <c r="G665" i="5"/>
  <c r="F665" i="5"/>
  <c r="E665" i="5"/>
  <c r="D665" i="5"/>
  <c r="C665" i="5"/>
  <c r="B665" i="5"/>
  <c r="A665" i="5"/>
  <c r="H664" i="5"/>
  <c r="G664" i="5"/>
  <c r="F664" i="5"/>
  <c r="E664" i="5"/>
  <c r="D664" i="5"/>
  <c r="C664" i="5"/>
  <c r="B664" i="5"/>
  <c r="A664" i="5"/>
  <c r="H663" i="5"/>
  <c r="G663" i="5"/>
  <c r="F663" i="5"/>
  <c r="E663" i="5"/>
  <c r="D663" i="5"/>
  <c r="C663" i="5"/>
  <c r="B663" i="5"/>
  <c r="A663" i="5"/>
  <c r="H662" i="5"/>
  <c r="G662" i="5"/>
  <c r="F662" i="5"/>
  <c r="E662" i="5"/>
  <c r="D662" i="5"/>
  <c r="C662" i="5"/>
  <c r="B662" i="5"/>
  <c r="A662" i="5"/>
  <c r="H661" i="5"/>
  <c r="G661" i="5"/>
  <c r="F661" i="5"/>
  <c r="E661" i="5"/>
  <c r="D661" i="5"/>
  <c r="C661" i="5"/>
  <c r="B661" i="5"/>
  <c r="A661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H658" i="5"/>
  <c r="G658" i="5"/>
  <c r="F658" i="5"/>
  <c r="E658" i="5"/>
  <c r="D658" i="5"/>
  <c r="C658" i="5"/>
  <c r="B658" i="5"/>
  <c r="A658" i="5"/>
  <c r="H657" i="5"/>
  <c r="G657" i="5"/>
  <c r="F657" i="5"/>
  <c r="E657" i="5"/>
  <c r="D657" i="5"/>
  <c r="C657" i="5"/>
  <c r="B657" i="5"/>
  <c r="A657" i="5"/>
  <c r="H656" i="5"/>
  <c r="G656" i="5"/>
  <c r="F656" i="5"/>
  <c r="E656" i="5"/>
  <c r="D656" i="5"/>
  <c r="C656" i="5"/>
  <c r="B656" i="5"/>
  <c r="A656" i="5"/>
  <c r="H655" i="5"/>
  <c r="G655" i="5"/>
  <c r="F655" i="5"/>
  <c r="E655" i="5"/>
  <c r="D655" i="5"/>
  <c r="C655" i="5"/>
  <c r="B655" i="5"/>
  <c r="A655" i="5"/>
  <c r="H654" i="5"/>
  <c r="G654" i="5"/>
  <c r="F654" i="5"/>
  <c r="E654" i="5"/>
  <c r="D654" i="5"/>
  <c r="C654" i="5"/>
  <c r="B654" i="5"/>
  <c r="A654" i="5"/>
  <c r="H653" i="5"/>
  <c r="G653" i="5"/>
  <c r="F653" i="5"/>
  <c r="E653" i="5"/>
  <c r="D653" i="5"/>
  <c r="C653" i="5"/>
  <c r="B653" i="5"/>
  <c r="A653" i="5"/>
  <c r="H652" i="5"/>
  <c r="G652" i="5"/>
  <c r="F652" i="5"/>
  <c r="E652" i="5"/>
  <c r="D652" i="5"/>
  <c r="C652" i="5"/>
  <c r="B652" i="5"/>
  <c r="A652" i="5"/>
  <c r="H651" i="5"/>
  <c r="G651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H649" i="5"/>
  <c r="G649" i="5"/>
  <c r="F649" i="5"/>
  <c r="E649" i="5"/>
  <c r="D649" i="5"/>
  <c r="C649" i="5"/>
  <c r="B649" i="5"/>
  <c r="A649" i="5"/>
  <c r="H648" i="5"/>
  <c r="G648" i="5"/>
  <c r="F648" i="5"/>
  <c r="E648" i="5"/>
  <c r="D648" i="5"/>
  <c r="C648" i="5"/>
  <c r="B648" i="5"/>
  <c r="A648" i="5"/>
  <c r="H647" i="5"/>
  <c r="G647" i="5"/>
  <c r="F647" i="5"/>
  <c r="E647" i="5"/>
  <c r="D647" i="5"/>
  <c r="C647" i="5"/>
  <c r="B647" i="5"/>
  <c r="A647" i="5"/>
  <c r="H646" i="5"/>
  <c r="G646" i="5"/>
  <c r="F646" i="5"/>
  <c r="E646" i="5"/>
  <c r="D646" i="5"/>
  <c r="C646" i="5"/>
  <c r="B646" i="5"/>
  <c r="A646" i="5"/>
  <c r="H645" i="5"/>
  <c r="G645" i="5"/>
  <c r="F645" i="5"/>
  <c r="E645" i="5"/>
  <c r="D645" i="5"/>
  <c r="C645" i="5"/>
  <c r="B645" i="5"/>
  <c r="A645" i="5"/>
  <c r="H644" i="5"/>
  <c r="G644" i="5"/>
  <c r="F644" i="5"/>
  <c r="E644" i="5"/>
  <c r="D644" i="5"/>
  <c r="C644" i="5"/>
  <c r="B644" i="5"/>
  <c r="A644" i="5"/>
  <c r="H643" i="5"/>
  <c r="G643" i="5"/>
  <c r="F643" i="5"/>
  <c r="E643" i="5"/>
  <c r="D643" i="5"/>
  <c r="C643" i="5"/>
  <c r="B643" i="5"/>
  <c r="A643" i="5"/>
  <c r="H642" i="5"/>
  <c r="G642" i="5"/>
  <c r="F642" i="5"/>
  <c r="E642" i="5"/>
  <c r="D642" i="5"/>
  <c r="C642" i="5"/>
  <c r="B642" i="5"/>
  <c r="A642" i="5"/>
  <c r="H641" i="5"/>
  <c r="G641" i="5"/>
  <c r="F641" i="5"/>
  <c r="E641" i="5"/>
  <c r="D641" i="5"/>
  <c r="C641" i="5"/>
  <c r="B641" i="5"/>
  <c r="A641" i="5"/>
  <c r="H640" i="5"/>
  <c r="G640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H637" i="5"/>
  <c r="G637" i="5"/>
  <c r="F637" i="5"/>
  <c r="E637" i="5"/>
  <c r="D637" i="5"/>
  <c r="C637" i="5"/>
  <c r="B637" i="5"/>
  <c r="A637" i="5"/>
  <c r="H636" i="5"/>
  <c r="G636" i="5"/>
  <c r="F636" i="5"/>
  <c r="E636" i="5"/>
  <c r="D636" i="5"/>
  <c r="C636" i="5"/>
  <c r="B636" i="5"/>
  <c r="A636" i="5"/>
  <c r="H635" i="5"/>
  <c r="G635" i="5"/>
  <c r="F635" i="5"/>
  <c r="E635" i="5"/>
  <c r="D635" i="5"/>
  <c r="C635" i="5"/>
  <c r="B635" i="5"/>
  <c r="A635" i="5"/>
  <c r="H634" i="5"/>
  <c r="G634" i="5"/>
  <c r="F634" i="5"/>
  <c r="E634" i="5"/>
  <c r="D634" i="5"/>
  <c r="C634" i="5"/>
  <c r="B634" i="5"/>
  <c r="A634" i="5"/>
  <c r="H633" i="5"/>
  <c r="G633" i="5"/>
  <c r="F633" i="5"/>
  <c r="E633" i="5"/>
  <c r="D633" i="5"/>
  <c r="C633" i="5"/>
  <c r="B633" i="5"/>
  <c r="A633" i="5"/>
  <c r="H632" i="5"/>
  <c r="G632" i="5"/>
  <c r="F632" i="5"/>
  <c r="E632" i="5"/>
  <c r="D632" i="5"/>
  <c r="C632" i="5"/>
  <c r="B632" i="5"/>
  <c r="A632" i="5"/>
  <c r="H631" i="5"/>
  <c r="G631" i="5"/>
  <c r="F631" i="5"/>
  <c r="E631" i="5"/>
  <c r="D631" i="5"/>
  <c r="C631" i="5"/>
  <c r="B631" i="5"/>
  <c r="A631" i="5"/>
  <c r="H630" i="5"/>
  <c r="G630" i="5"/>
  <c r="F630" i="5"/>
  <c r="E630" i="5"/>
  <c r="D630" i="5"/>
  <c r="C630" i="5"/>
  <c r="B630" i="5"/>
  <c r="A630" i="5"/>
  <c r="H629" i="5"/>
  <c r="G629" i="5"/>
  <c r="F629" i="5"/>
  <c r="E629" i="5"/>
  <c r="D629" i="5"/>
  <c r="C629" i="5"/>
  <c r="B629" i="5"/>
  <c r="A629" i="5"/>
  <c r="H628" i="5"/>
  <c r="G628" i="5"/>
  <c r="F628" i="5"/>
  <c r="E628" i="5"/>
  <c r="D628" i="5"/>
  <c r="C628" i="5"/>
  <c r="B628" i="5"/>
  <c r="A628" i="5"/>
  <c r="H627" i="5"/>
  <c r="G627" i="5"/>
  <c r="F627" i="5"/>
  <c r="E627" i="5"/>
  <c r="D627" i="5"/>
  <c r="C627" i="5"/>
  <c r="B627" i="5"/>
  <c r="A627" i="5"/>
  <c r="H626" i="5"/>
  <c r="G626" i="5"/>
  <c r="F626" i="5"/>
  <c r="E626" i="5"/>
  <c r="D626" i="5"/>
  <c r="C626" i="5"/>
  <c r="B626" i="5"/>
  <c r="A626" i="5"/>
  <c r="H625" i="5"/>
  <c r="G625" i="5"/>
  <c r="F625" i="5"/>
  <c r="E625" i="5"/>
  <c r="D625" i="5"/>
  <c r="C625" i="5"/>
  <c r="B625" i="5"/>
  <c r="A625" i="5"/>
  <c r="H624" i="5"/>
  <c r="G624" i="5"/>
  <c r="F624" i="5"/>
  <c r="E624" i="5"/>
  <c r="D624" i="5"/>
  <c r="C624" i="5"/>
  <c r="B624" i="5"/>
  <c r="A624" i="5"/>
  <c r="H623" i="5"/>
  <c r="G623" i="5"/>
  <c r="F623" i="5"/>
  <c r="E623" i="5"/>
  <c r="D623" i="5"/>
  <c r="C623" i="5"/>
  <c r="B623" i="5"/>
  <c r="A623" i="5"/>
  <c r="H622" i="5"/>
  <c r="G622" i="5"/>
  <c r="F622" i="5"/>
  <c r="E622" i="5"/>
  <c r="D622" i="5"/>
  <c r="C622" i="5"/>
  <c r="B622" i="5"/>
  <c r="A622" i="5"/>
  <c r="H621" i="5"/>
  <c r="G621" i="5"/>
  <c r="F621" i="5"/>
  <c r="E621" i="5"/>
  <c r="D621" i="5"/>
  <c r="C621" i="5"/>
  <c r="B621" i="5"/>
  <c r="A621" i="5"/>
  <c r="H620" i="5"/>
  <c r="G620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H617" i="5"/>
  <c r="G617" i="5"/>
  <c r="F617" i="5"/>
  <c r="E617" i="5"/>
  <c r="D617" i="5"/>
  <c r="C617" i="5"/>
  <c r="B617" i="5"/>
  <c r="A617" i="5"/>
  <c r="H616" i="5"/>
  <c r="G616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H613" i="5"/>
  <c r="G613" i="5"/>
  <c r="F613" i="5"/>
  <c r="E613" i="5"/>
  <c r="D613" i="5"/>
  <c r="C613" i="5"/>
  <c r="B613" i="5"/>
  <c r="A613" i="5"/>
  <c r="H612" i="5"/>
  <c r="G612" i="5"/>
  <c r="F612" i="5"/>
  <c r="E612" i="5"/>
  <c r="D612" i="5"/>
  <c r="C612" i="5"/>
  <c r="B612" i="5"/>
  <c r="A612" i="5"/>
  <c r="H611" i="5"/>
  <c r="G611" i="5"/>
  <c r="F611" i="5"/>
  <c r="E611" i="5"/>
  <c r="D611" i="5"/>
  <c r="C611" i="5"/>
  <c r="B611" i="5"/>
  <c r="A611" i="5"/>
  <c r="H610" i="5"/>
  <c r="G610" i="5"/>
  <c r="F610" i="5"/>
  <c r="E610" i="5"/>
  <c r="D610" i="5"/>
  <c r="C610" i="5"/>
  <c r="B610" i="5"/>
  <c r="A610" i="5"/>
  <c r="H609" i="5"/>
  <c r="G609" i="5"/>
  <c r="F609" i="5"/>
  <c r="E609" i="5"/>
  <c r="D609" i="5"/>
  <c r="C609" i="5"/>
  <c r="B609" i="5"/>
  <c r="A609" i="5"/>
  <c r="H608" i="5"/>
  <c r="G608" i="5"/>
  <c r="F608" i="5"/>
  <c r="E608" i="5"/>
  <c r="D608" i="5"/>
  <c r="C608" i="5"/>
  <c r="B608" i="5"/>
  <c r="A608" i="5"/>
  <c r="H607" i="5"/>
  <c r="G607" i="5"/>
  <c r="F607" i="5"/>
  <c r="E607" i="5"/>
  <c r="D607" i="5"/>
  <c r="C607" i="5"/>
  <c r="B607" i="5"/>
  <c r="A607" i="5"/>
  <c r="H606" i="5"/>
  <c r="G606" i="5"/>
  <c r="F606" i="5"/>
  <c r="E606" i="5"/>
  <c r="D606" i="5"/>
  <c r="C606" i="5"/>
  <c r="B606" i="5"/>
  <c r="A606" i="5"/>
  <c r="H605" i="5"/>
  <c r="G605" i="5"/>
  <c r="F605" i="5"/>
  <c r="E605" i="5"/>
  <c r="D605" i="5"/>
  <c r="C605" i="5"/>
  <c r="B605" i="5"/>
  <c r="A605" i="5"/>
  <c r="H604" i="5"/>
  <c r="G604" i="5"/>
  <c r="F604" i="5"/>
  <c r="E604" i="5"/>
  <c r="D604" i="5"/>
  <c r="C604" i="5"/>
  <c r="B604" i="5"/>
  <c r="A604" i="5"/>
  <c r="H603" i="5"/>
  <c r="G603" i="5"/>
  <c r="F603" i="5"/>
  <c r="E603" i="5"/>
  <c r="D603" i="5"/>
  <c r="C603" i="5"/>
  <c r="B603" i="5"/>
  <c r="A603" i="5"/>
  <c r="H602" i="5"/>
  <c r="G602" i="5"/>
  <c r="F602" i="5"/>
  <c r="E602" i="5"/>
  <c r="D602" i="5"/>
  <c r="C602" i="5"/>
  <c r="B602" i="5"/>
  <c r="A602" i="5"/>
  <c r="H601" i="5"/>
  <c r="G601" i="5"/>
  <c r="F601" i="5"/>
  <c r="E601" i="5"/>
  <c r="D601" i="5"/>
  <c r="C601" i="5"/>
  <c r="B601" i="5"/>
  <c r="A601" i="5"/>
  <c r="H600" i="5"/>
  <c r="G600" i="5"/>
  <c r="F600" i="5"/>
  <c r="E600" i="5"/>
  <c r="D600" i="5"/>
  <c r="C600" i="5"/>
  <c r="B600" i="5"/>
  <c r="A600" i="5"/>
  <c r="H599" i="5"/>
  <c r="G599" i="5"/>
  <c r="F599" i="5"/>
  <c r="E599" i="5"/>
  <c r="D599" i="5"/>
  <c r="C599" i="5"/>
  <c r="B599" i="5"/>
  <c r="A599" i="5"/>
  <c r="H598" i="5"/>
  <c r="G598" i="5"/>
  <c r="F598" i="5"/>
  <c r="E598" i="5"/>
  <c r="D598" i="5"/>
  <c r="C598" i="5"/>
  <c r="B598" i="5"/>
  <c r="A598" i="5"/>
  <c r="H597" i="5"/>
  <c r="G597" i="5"/>
  <c r="F597" i="5"/>
  <c r="E597" i="5"/>
  <c r="D597" i="5"/>
  <c r="C597" i="5"/>
  <c r="B597" i="5"/>
  <c r="A597" i="5"/>
  <c r="H596" i="5"/>
  <c r="G596" i="5"/>
  <c r="F596" i="5"/>
  <c r="E596" i="5"/>
  <c r="D596" i="5"/>
  <c r="C596" i="5"/>
  <c r="B596" i="5"/>
  <c r="A596" i="5"/>
  <c r="H595" i="5"/>
  <c r="G595" i="5"/>
  <c r="F595" i="5"/>
  <c r="E595" i="5"/>
  <c r="D595" i="5"/>
  <c r="C595" i="5"/>
  <c r="B595" i="5"/>
  <c r="A595" i="5"/>
  <c r="H594" i="5"/>
  <c r="G594" i="5"/>
  <c r="F594" i="5"/>
  <c r="E594" i="5"/>
  <c r="D594" i="5"/>
  <c r="C594" i="5"/>
  <c r="B594" i="5"/>
  <c r="A594" i="5"/>
  <c r="H593" i="5"/>
  <c r="G593" i="5"/>
  <c r="F593" i="5"/>
  <c r="E593" i="5"/>
  <c r="D593" i="5"/>
  <c r="C593" i="5"/>
  <c r="B593" i="5"/>
  <c r="A593" i="5"/>
  <c r="H592" i="5"/>
  <c r="G592" i="5"/>
  <c r="F592" i="5"/>
  <c r="E592" i="5"/>
  <c r="D592" i="5"/>
  <c r="C592" i="5"/>
  <c r="B592" i="5"/>
  <c r="A592" i="5"/>
  <c r="H591" i="5"/>
  <c r="G591" i="5"/>
  <c r="F591" i="5"/>
  <c r="E591" i="5"/>
  <c r="D591" i="5"/>
  <c r="C591" i="5"/>
  <c r="B591" i="5"/>
  <c r="A591" i="5"/>
  <c r="H590" i="5"/>
  <c r="G590" i="5"/>
  <c r="F590" i="5"/>
  <c r="E590" i="5"/>
  <c r="D590" i="5"/>
  <c r="C590" i="5"/>
  <c r="B590" i="5"/>
  <c r="A590" i="5"/>
  <c r="H589" i="5"/>
  <c r="G589" i="5"/>
  <c r="F589" i="5"/>
  <c r="E589" i="5"/>
  <c r="D589" i="5"/>
  <c r="C589" i="5"/>
  <c r="B589" i="5"/>
  <c r="A589" i="5"/>
  <c r="H588" i="5"/>
  <c r="G588" i="5"/>
  <c r="F588" i="5"/>
  <c r="E588" i="5"/>
  <c r="D588" i="5"/>
  <c r="C588" i="5"/>
  <c r="B588" i="5"/>
  <c r="A588" i="5"/>
  <c r="H587" i="5"/>
  <c r="G587" i="5"/>
  <c r="F587" i="5"/>
  <c r="E587" i="5"/>
  <c r="D587" i="5"/>
  <c r="C587" i="5"/>
  <c r="B587" i="5"/>
  <c r="A587" i="5"/>
  <c r="H586" i="5"/>
  <c r="G586" i="5"/>
  <c r="F586" i="5"/>
  <c r="E586" i="5"/>
  <c r="D586" i="5"/>
  <c r="C586" i="5"/>
  <c r="B586" i="5"/>
  <c r="A586" i="5"/>
  <c r="H585" i="5"/>
  <c r="G585" i="5"/>
  <c r="F585" i="5"/>
  <c r="E585" i="5"/>
  <c r="D585" i="5"/>
  <c r="C585" i="5"/>
  <c r="B585" i="5"/>
  <c r="A585" i="5"/>
  <c r="H584" i="5"/>
  <c r="G584" i="5"/>
  <c r="F584" i="5"/>
  <c r="E584" i="5"/>
  <c r="D584" i="5"/>
  <c r="C584" i="5"/>
  <c r="B584" i="5"/>
  <c r="A584" i="5"/>
  <c r="H583" i="5"/>
  <c r="G583" i="5"/>
  <c r="F583" i="5"/>
  <c r="E583" i="5"/>
  <c r="D583" i="5"/>
  <c r="C583" i="5"/>
  <c r="B583" i="5"/>
  <c r="A583" i="5"/>
  <c r="H582" i="5"/>
  <c r="G582" i="5"/>
  <c r="F582" i="5"/>
  <c r="E582" i="5"/>
  <c r="D582" i="5"/>
  <c r="C582" i="5"/>
  <c r="B582" i="5"/>
  <c r="A582" i="5"/>
  <c r="H581" i="5"/>
  <c r="G581" i="5"/>
  <c r="F581" i="5"/>
  <c r="E581" i="5"/>
  <c r="D581" i="5"/>
  <c r="C581" i="5"/>
  <c r="B581" i="5"/>
  <c r="A581" i="5"/>
  <c r="H580" i="5"/>
  <c r="G580" i="5"/>
  <c r="F580" i="5"/>
  <c r="E580" i="5"/>
  <c r="D580" i="5"/>
  <c r="C580" i="5"/>
  <c r="B580" i="5"/>
  <c r="A580" i="5"/>
  <c r="H579" i="5"/>
  <c r="G579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H577" i="5"/>
  <c r="G577" i="5"/>
  <c r="F577" i="5"/>
  <c r="E577" i="5"/>
  <c r="D577" i="5"/>
  <c r="C577" i="5"/>
  <c r="B577" i="5"/>
  <c r="A577" i="5"/>
  <c r="H576" i="5"/>
  <c r="G576" i="5"/>
  <c r="F576" i="5"/>
  <c r="E576" i="5"/>
  <c r="D576" i="5"/>
  <c r="C576" i="5"/>
  <c r="B576" i="5"/>
  <c r="A576" i="5"/>
  <c r="H575" i="5"/>
  <c r="G575" i="5"/>
  <c r="F575" i="5"/>
  <c r="E575" i="5"/>
  <c r="D575" i="5"/>
  <c r="C575" i="5"/>
  <c r="B575" i="5"/>
  <c r="A575" i="5"/>
  <c r="H574" i="5"/>
  <c r="G574" i="5"/>
  <c r="F574" i="5"/>
  <c r="E574" i="5"/>
  <c r="D574" i="5"/>
  <c r="C574" i="5"/>
  <c r="B574" i="5"/>
  <c r="A574" i="5"/>
  <c r="H573" i="5"/>
  <c r="G573" i="5"/>
  <c r="F573" i="5"/>
  <c r="E573" i="5"/>
  <c r="D573" i="5"/>
  <c r="C573" i="5"/>
  <c r="B573" i="5"/>
  <c r="A573" i="5"/>
  <c r="H572" i="5"/>
  <c r="G572" i="5"/>
  <c r="F572" i="5"/>
  <c r="E572" i="5"/>
  <c r="D572" i="5"/>
  <c r="C572" i="5"/>
  <c r="B572" i="5"/>
  <c r="A572" i="5"/>
  <c r="H571" i="5"/>
  <c r="G571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H568" i="5"/>
  <c r="G568" i="5"/>
  <c r="F568" i="5"/>
  <c r="E568" i="5"/>
  <c r="D568" i="5"/>
  <c r="C568" i="5"/>
  <c r="B568" i="5"/>
  <c r="A568" i="5"/>
  <c r="H567" i="5"/>
  <c r="G567" i="5"/>
  <c r="F567" i="5"/>
  <c r="E567" i="5"/>
  <c r="D567" i="5"/>
  <c r="C567" i="5"/>
  <c r="B567" i="5"/>
  <c r="A567" i="5"/>
  <c r="H566" i="5"/>
  <c r="G566" i="5"/>
  <c r="F566" i="5"/>
  <c r="E566" i="5"/>
  <c r="D566" i="5"/>
  <c r="C566" i="5"/>
  <c r="B566" i="5"/>
  <c r="A566" i="5"/>
  <c r="H565" i="5"/>
  <c r="G565" i="5"/>
  <c r="F565" i="5"/>
  <c r="E565" i="5"/>
  <c r="D565" i="5"/>
  <c r="C565" i="5"/>
  <c r="B565" i="5"/>
  <c r="A565" i="5"/>
  <c r="H564" i="5"/>
  <c r="G564" i="5"/>
  <c r="F564" i="5"/>
  <c r="E564" i="5"/>
  <c r="D564" i="5"/>
  <c r="C564" i="5"/>
  <c r="B564" i="5"/>
  <c r="A564" i="5"/>
  <c r="H563" i="5"/>
  <c r="G563" i="5"/>
  <c r="F563" i="5"/>
  <c r="E563" i="5"/>
  <c r="D563" i="5"/>
  <c r="C563" i="5"/>
  <c r="B563" i="5"/>
  <c r="A563" i="5"/>
  <c r="H562" i="5"/>
  <c r="G562" i="5"/>
  <c r="F562" i="5"/>
  <c r="E562" i="5"/>
  <c r="D562" i="5"/>
  <c r="C562" i="5"/>
  <c r="B562" i="5"/>
  <c r="A562" i="5"/>
  <c r="H561" i="5"/>
  <c r="G561" i="5"/>
  <c r="F561" i="5"/>
  <c r="E561" i="5"/>
  <c r="D561" i="5"/>
  <c r="C561" i="5"/>
  <c r="B561" i="5"/>
  <c r="A561" i="5"/>
  <c r="H560" i="5"/>
  <c r="G560" i="5"/>
  <c r="F560" i="5"/>
  <c r="E560" i="5"/>
  <c r="D560" i="5"/>
  <c r="C560" i="5"/>
  <c r="B560" i="5"/>
  <c r="A560" i="5"/>
  <c r="H559" i="5"/>
  <c r="G559" i="5"/>
  <c r="F559" i="5"/>
  <c r="E559" i="5"/>
  <c r="D559" i="5"/>
  <c r="C559" i="5"/>
  <c r="B559" i="5"/>
  <c r="A559" i="5"/>
  <c r="H558" i="5"/>
  <c r="G558" i="5"/>
  <c r="F558" i="5"/>
  <c r="E558" i="5"/>
  <c r="D558" i="5"/>
  <c r="C558" i="5"/>
  <c r="B558" i="5"/>
  <c r="A558" i="5"/>
  <c r="H557" i="5"/>
  <c r="G557" i="5"/>
  <c r="F557" i="5"/>
  <c r="E557" i="5"/>
  <c r="D557" i="5"/>
  <c r="C557" i="5"/>
  <c r="B557" i="5"/>
  <c r="A557" i="5"/>
  <c r="H556" i="5"/>
  <c r="G556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H554" i="5"/>
  <c r="G554" i="5"/>
  <c r="F554" i="5"/>
  <c r="E554" i="5"/>
  <c r="D554" i="5"/>
  <c r="C554" i="5"/>
  <c r="B554" i="5"/>
  <c r="A554" i="5"/>
  <c r="H553" i="5"/>
  <c r="G553" i="5"/>
  <c r="F553" i="5"/>
  <c r="E553" i="5"/>
  <c r="D553" i="5"/>
  <c r="C553" i="5"/>
  <c r="B553" i="5"/>
  <c r="A553" i="5"/>
  <c r="H552" i="5"/>
  <c r="G552" i="5"/>
  <c r="F552" i="5"/>
  <c r="E552" i="5"/>
  <c r="D552" i="5"/>
  <c r="C552" i="5"/>
  <c r="B552" i="5"/>
  <c r="A552" i="5"/>
  <c r="H551" i="5"/>
  <c r="G551" i="5"/>
  <c r="F551" i="5"/>
  <c r="E551" i="5"/>
  <c r="D551" i="5"/>
  <c r="C551" i="5"/>
  <c r="B551" i="5"/>
  <c r="A551" i="5"/>
  <c r="H550" i="5"/>
  <c r="G550" i="5"/>
  <c r="F550" i="5"/>
  <c r="E550" i="5"/>
  <c r="D550" i="5"/>
  <c r="C550" i="5"/>
  <c r="B550" i="5"/>
  <c r="A550" i="5"/>
  <c r="H549" i="5"/>
  <c r="G549" i="5"/>
  <c r="F549" i="5"/>
  <c r="E549" i="5"/>
  <c r="D549" i="5"/>
  <c r="C549" i="5"/>
  <c r="B549" i="5"/>
  <c r="A549" i="5"/>
  <c r="H548" i="5"/>
  <c r="G548" i="5"/>
  <c r="F548" i="5"/>
  <c r="E548" i="5"/>
  <c r="D548" i="5"/>
  <c r="C548" i="5"/>
  <c r="B548" i="5"/>
  <c r="A548" i="5"/>
  <c r="H547" i="5"/>
  <c r="G547" i="5"/>
  <c r="F547" i="5"/>
  <c r="E547" i="5"/>
  <c r="D547" i="5"/>
  <c r="C547" i="5"/>
  <c r="B547" i="5"/>
  <c r="A547" i="5"/>
  <c r="H546" i="5"/>
  <c r="G546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H544" i="5"/>
  <c r="G544" i="5"/>
  <c r="F544" i="5"/>
  <c r="E544" i="5"/>
  <c r="D544" i="5"/>
  <c r="C544" i="5"/>
  <c r="B544" i="5"/>
  <c r="A544" i="5"/>
  <c r="H543" i="5"/>
  <c r="G543" i="5"/>
  <c r="F543" i="5"/>
  <c r="E543" i="5"/>
  <c r="D543" i="5"/>
  <c r="C543" i="5"/>
  <c r="B543" i="5"/>
  <c r="A543" i="5"/>
  <c r="H542" i="5"/>
  <c r="G542" i="5"/>
  <c r="F542" i="5"/>
  <c r="E542" i="5"/>
  <c r="D542" i="5"/>
  <c r="C542" i="5"/>
  <c r="B542" i="5"/>
  <c r="A542" i="5"/>
  <c r="H541" i="5"/>
  <c r="G541" i="5"/>
  <c r="F541" i="5"/>
  <c r="E541" i="5"/>
  <c r="D541" i="5"/>
  <c r="C541" i="5"/>
  <c r="B541" i="5"/>
  <c r="A541" i="5"/>
  <c r="H540" i="5"/>
  <c r="G540" i="5"/>
  <c r="F540" i="5"/>
  <c r="E540" i="5"/>
  <c r="D540" i="5"/>
  <c r="C540" i="5"/>
  <c r="B540" i="5"/>
  <c r="A540" i="5"/>
  <c r="H539" i="5"/>
  <c r="G539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H536" i="5"/>
  <c r="G536" i="5"/>
  <c r="F536" i="5"/>
  <c r="E536" i="5"/>
  <c r="D536" i="5"/>
  <c r="C536" i="5"/>
  <c r="B536" i="5"/>
  <c r="A536" i="5"/>
  <c r="H535" i="5"/>
  <c r="G535" i="5"/>
  <c r="F535" i="5"/>
  <c r="E535" i="5"/>
  <c r="D535" i="5"/>
  <c r="C535" i="5"/>
  <c r="B535" i="5"/>
  <c r="A535" i="5"/>
  <c r="H534" i="5"/>
  <c r="G534" i="5"/>
  <c r="F534" i="5"/>
  <c r="E534" i="5"/>
  <c r="D534" i="5"/>
  <c r="C534" i="5"/>
  <c r="B534" i="5"/>
  <c r="A534" i="5"/>
  <c r="H533" i="5"/>
  <c r="G533" i="5"/>
  <c r="F533" i="5"/>
  <c r="E533" i="5"/>
  <c r="D533" i="5"/>
  <c r="C533" i="5"/>
  <c r="B533" i="5"/>
  <c r="A533" i="5"/>
  <c r="H532" i="5"/>
  <c r="G532" i="5"/>
  <c r="F532" i="5"/>
  <c r="E532" i="5"/>
  <c r="D532" i="5"/>
  <c r="C532" i="5"/>
  <c r="B532" i="5"/>
  <c r="A532" i="5"/>
  <c r="H531" i="5"/>
  <c r="G531" i="5"/>
  <c r="F531" i="5"/>
  <c r="E531" i="5"/>
  <c r="D531" i="5"/>
  <c r="C531" i="5"/>
  <c r="B531" i="5"/>
  <c r="A531" i="5"/>
  <c r="H530" i="5"/>
  <c r="G530" i="5"/>
  <c r="F530" i="5"/>
  <c r="E530" i="5"/>
  <c r="D530" i="5"/>
  <c r="C530" i="5"/>
  <c r="B530" i="5"/>
  <c r="A530" i="5"/>
  <c r="H529" i="5"/>
  <c r="G529" i="5"/>
  <c r="F529" i="5"/>
  <c r="E529" i="5"/>
  <c r="D529" i="5"/>
  <c r="C529" i="5"/>
  <c r="B529" i="5"/>
  <c r="A529" i="5"/>
  <c r="H528" i="5"/>
  <c r="G528" i="5"/>
  <c r="F528" i="5"/>
  <c r="E528" i="5"/>
  <c r="D528" i="5"/>
  <c r="C528" i="5"/>
  <c r="B528" i="5"/>
  <c r="A528" i="5"/>
  <c r="H527" i="5"/>
  <c r="G527" i="5"/>
  <c r="F527" i="5"/>
  <c r="E527" i="5"/>
  <c r="D527" i="5"/>
  <c r="C527" i="5"/>
  <c r="B527" i="5"/>
  <c r="A527" i="5"/>
  <c r="H526" i="5"/>
  <c r="G526" i="5"/>
  <c r="F526" i="5"/>
  <c r="E526" i="5"/>
  <c r="D526" i="5"/>
  <c r="C526" i="5"/>
  <c r="B526" i="5"/>
  <c r="A526" i="5"/>
  <c r="H525" i="5"/>
  <c r="G525" i="5"/>
  <c r="F525" i="5"/>
  <c r="E525" i="5"/>
  <c r="D525" i="5"/>
  <c r="C525" i="5"/>
  <c r="B525" i="5"/>
  <c r="A525" i="5"/>
  <c r="H524" i="5"/>
  <c r="G524" i="5"/>
  <c r="F524" i="5"/>
  <c r="E524" i="5"/>
  <c r="D524" i="5"/>
  <c r="C524" i="5"/>
  <c r="B524" i="5"/>
  <c r="A524" i="5"/>
  <c r="H523" i="5"/>
  <c r="G523" i="5"/>
  <c r="F523" i="5"/>
  <c r="E523" i="5"/>
  <c r="D523" i="5"/>
  <c r="C523" i="5"/>
  <c r="B523" i="5"/>
  <c r="A523" i="5"/>
  <c r="H522" i="5"/>
  <c r="G522" i="5"/>
  <c r="F522" i="5"/>
  <c r="E522" i="5"/>
  <c r="D522" i="5"/>
  <c r="C522" i="5"/>
  <c r="B522" i="5"/>
  <c r="A522" i="5"/>
  <c r="H521" i="5"/>
  <c r="G521" i="5"/>
  <c r="F521" i="5"/>
  <c r="E521" i="5"/>
  <c r="D521" i="5"/>
  <c r="C521" i="5"/>
  <c r="B521" i="5"/>
  <c r="A521" i="5"/>
  <c r="H520" i="5"/>
  <c r="G520" i="5"/>
  <c r="F520" i="5"/>
  <c r="E520" i="5"/>
  <c r="D520" i="5"/>
  <c r="C520" i="5"/>
  <c r="B520" i="5"/>
  <c r="A520" i="5"/>
  <c r="H519" i="5"/>
  <c r="G519" i="5"/>
  <c r="F519" i="5"/>
  <c r="E519" i="5"/>
  <c r="D519" i="5"/>
  <c r="C519" i="5"/>
  <c r="B519" i="5"/>
  <c r="A519" i="5"/>
  <c r="H518" i="5"/>
  <c r="G518" i="5"/>
  <c r="F518" i="5"/>
  <c r="E518" i="5"/>
  <c r="D518" i="5"/>
  <c r="C518" i="5"/>
  <c r="B518" i="5"/>
  <c r="A518" i="5"/>
  <c r="H517" i="5"/>
  <c r="G517" i="5"/>
  <c r="F517" i="5"/>
  <c r="E517" i="5"/>
  <c r="D517" i="5"/>
  <c r="C517" i="5"/>
  <c r="B517" i="5"/>
  <c r="A517" i="5"/>
  <c r="H516" i="5"/>
  <c r="G516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H514" i="5"/>
  <c r="G514" i="5"/>
  <c r="F514" i="5"/>
  <c r="E514" i="5"/>
  <c r="D514" i="5"/>
  <c r="C514" i="5"/>
  <c r="B514" i="5"/>
  <c r="A514" i="5"/>
  <c r="H513" i="5"/>
  <c r="G513" i="5"/>
  <c r="F513" i="5"/>
  <c r="E513" i="5"/>
  <c r="D513" i="5"/>
  <c r="C513" i="5"/>
  <c r="B513" i="5"/>
  <c r="A513" i="5"/>
  <c r="H512" i="5"/>
  <c r="G512" i="5"/>
  <c r="F512" i="5"/>
  <c r="E512" i="5"/>
  <c r="D512" i="5"/>
  <c r="C512" i="5"/>
  <c r="B512" i="5"/>
  <c r="A512" i="5"/>
  <c r="H511" i="5"/>
  <c r="G511" i="5"/>
  <c r="F511" i="5"/>
  <c r="E511" i="5"/>
  <c r="D511" i="5"/>
  <c r="C511" i="5"/>
  <c r="B511" i="5"/>
  <c r="A511" i="5"/>
  <c r="H510" i="5"/>
  <c r="G510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H508" i="5"/>
  <c r="G508" i="5"/>
  <c r="F508" i="5"/>
  <c r="E508" i="5"/>
  <c r="D508" i="5"/>
  <c r="C508" i="5"/>
  <c r="B508" i="5"/>
  <c r="A508" i="5"/>
  <c r="H507" i="5"/>
  <c r="G507" i="5"/>
  <c r="F507" i="5"/>
  <c r="E507" i="5"/>
  <c r="D507" i="5"/>
  <c r="C507" i="5"/>
  <c r="B507" i="5"/>
  <c r="A507" i="5"/>
  <c r="H506" i="5"/>
  <c r="G506" i="5"/>
  <c r="F506" i="5"/>
  <c r="E506" i="5"/>
  <c r="D506" i="5"/>
  <c r="C506" i="5"/>
  <c r="B506" i="5"/>
  <c r="A506" i="5"/>
  <c r="H505" i="5"/>
  <c r="G505" i="5"/>
  <c r="F505" i="5"/>
  <c r="E505" i="5"/>
  <c r="D505" i="5"/>
  <c r="C505" i="5"/>
  <c r="B505" i="5"/>
  <c r="A505" i="5"/>
  <c r="H504" i="5"/>
  <c r="G504" i="5"/>
  <c r="F504" i="5"/>
  <c r="E504" i="5"/>
  <c r="D504" i="5"/>
  <c r="C504" i="5"/>
  <c r="B504" i="5"/>
  <c r="A504" i="5"/>
  <c r="H503" i="5"/>
  <c r="G503" i="5"/>
  <c r="F503" i="5"/>
  <c r="E503" i="5"/>
  <c r="D503" i="5"/>
  <c r="C503" i="5"/>
  <c r="B503" i="5"/>
  <c r="A503" i="5"/>
  <c r="H502" i="5"/>
  <c r="G502" i="5"/>
  <c r="F502" i="5"/>
  <c r="E502" i="5"/>
  <c r="D502" i="5"/>
  <c r="C502" i="5"/>
  <c r="B502" i="5"/>
  <c r="A502" i="5"/>
  <c r="H501" i="5"/>
  <c r="G501" i="5"/>
  <c r="F501" i="5"/>
  <c r="E501" i="5"/>
  <c r="D501" i="5"/>
  <c r="C501" i="5"/>
  <c r="B501" i="5"/>
  <c r="A501" i="5"/>
  <c r="H500" i="5"/>
  <c r="G500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H498" i="5"/>
  <c r="G498" i="5"/>
  <c r="F498" i="5"/>
  <c r="E498" i="5"/>
  <c r="D498" i="5"/>
  <c r="C498" i="5"/>
  <c r="B498" i="5"/>
  <c r="A498" i="5"/>
  <c r="H497" i="5"/>
  <c r="G497" i="5"/>
  <c r="F497" i="5"/>
  <c r="E497" i="5"/>
  <c r="D497" i="5"/>
  <c r="C497" i="5"/>
  <c r="B497" i="5"/>
  <c r="A497" i="5"/>
  <c r="H496" i="5"/>
  <c r="G496" i="5"/>
  <c r="F496" i="5"/>
  <c r="E496" i="5"/>
  <c r="D496" i="5"/>
  <c r="C496" i="5"/>
  <c r="B496" i="5"/>
  <c r="A496" i="5"/>
  <c r="H495" i="5"/>
  <c r="G495" i="5"/>
  <c r="F495" i="5"/>
  <c r="E495" i="5"/>
  <c r="D495" i="5"/>
  <c r="C495" i="5"/>
  <c r="B495" i="5"/>
  <c r="A495" i="5"/>
  <c r="H494" i="5"/>
  <c r="G494" i="5"/>
  <c r="F494" i="5"/>
  <c r="E494" i="5"/>
  <c r="D494" i="5"/>
  <c r="C494" i="5"/>
  <c r="B494" i="5"/>
  <c r="A494" i="5"/>
  <c r="H493" i="5"/>
  <c r="G493" i="5"/>
  <c r="F493" i="5"/>
  <c r="E493" i="5"/>
  <c r="D493" i="5"/>
  <c r="C493" i="5"/>
  <c r="B493" i="5"/>
  <c r="A493" i="5"/>
  <c r="H492" i="5"/>
  <c r="G492" i="5"/>
  <c r="F492" i="5"/>
  <c r="E492" i="5"/>
  <c r="D492" i="5"/>
  <c r="C492" i="5"/>
  <c r="B492" i="5"/>
  <c r="A492" i="5"/>
  <c r="H491" i="5"/>
  <c r="G491" i="5"/>
  <c r="F491" i="5"/>
  <c r="E491" i="5"/>
  <c r="D491" i="5"/>
  <c r="C491" i="5"/>
  <c r="B491" i="5"/>
  <c r="A491" i="5"/>
  <c r="H490" i="5"/>
  <c r="G490" i="5"/>
  <c r="F490" i="5"/>
  <c r="E490" i="5"/>
  <c r="D490" i="5"/>
  <c r="C490" i="5"/>
  <c r="B490" i="5"/>
  <c r="A490" i="5"/>
  <c r="H489" i="5"/>
  <c r="G489" i="5"/>
  <c r="F489" i="5"/>
  <c r="E489" i="5"/>
  <c r="D489" i="5"/>
  <c r="C489" i="5"/>
  <c r="B489" i="5"/>
  <c r="A489" i="5"/>
  <c r="H488" i="5"/>
  <c r="G488" i="5"/>
  <c r="F488" i="5"/>
  <c r="E488" i="5"/>
  <c r="D488" i="5"/>
  <c r="C488" i="5"/>
  <c r="B488" i="5"/>
  <c r="A488" i="5"/>
  <c r="H487" i="5"/>
  <c r="G487" i="5"/>
  <c r="F487" i="5"/>
  <c r="E487" i="5"/>
  <c r="D487" i="5"/>
  <c r="C487" i="5"/>
  <c r="B487" i="5"/>
  <c r="A487" i="5"/>
  <c r="H486" i="5"/>
  <c r="G486" i="5"/>
  <c r="F486" i="5"/>
  <c r="E486" i="5"/>
  <c r="D486" i="5"/>
  <c r="C486" i="5"/>
  <c r="B486" i="5"/>
  <c r="A486" i="5"/>
  <c r="H485" i="5"/>
  <c r="G485" i="5"/>
  <c r="F485" i="5"/>
  <c r="E485" i="5"/>
  <c r="D485" i="5"/>
  <c r="C485" i="5"/>
  <c r="B485" i="5"/>
  <c r="A485" i="5"/>
  <c r="H484" i="5"/>
  <c r="G484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H481" i="5"/>
  <c r="G481" i="5"/>
  <c r="F481" i="5"/>
  <c r="E481" i="5"/>
  <c r="D481" i="5"/>
  <c r="C481" i="5"/>
  <c r="B481" i="5"/>
  <c r="A481" i="5"/>
  <c r="H480" i="5"/>
  <c r="G480" i="5"/>
  <c r="F480" i="5"/>
  <c r="E480" i="5"/>
  <c r="D480" i="5"/>
  <c r="C480" i="5"/>
  <c r="B480" i="5"/>
  <c r="A480" i="5"/>
  <c r="H479" i="5"/>
  <c r="G479" i="5"/>
  <c r="F479" i="5"/>
  <c r="E479" i="5"/>
  <c r="D479" i="5"/>
  <c r="C479" i="5"/>
  <c r="B479" i="5"/>
  <c r="A479" i="5"/>
  <c r="H478" i="5"/>
  <c r="G478" i="5"/>
  <c r="F478" i="5"/>
  <c r="E478" i="5"/>
  <c r="D478" i="5"/>
  <c r="C478" i="5"/>
  <c r="B478" i="5"/>
  <c r="A478" i="5"/>
  <c r="H477" i="5"/>
  <c r="G477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H475" i="5"/>
  <c r="G475" i="5"/>
  <c r="F475" i="5"/>
  <c r="E475" i="5"/>
  <c r="D475" i="5"/>
  <c r="C475" i="5"/>
  <c r="B475" i="5"/>
  <c r="A475" i="5"/>
  <c r="H474" i="5"/>
  <c r="G474" i="5"/>
  <c r="F474" i="5"/>
  <c r="E474" i="5"/>
  <c r="D474" i="5"/>
  <c r="C474" i="5"/>
  <c r="B474" i="5"/>
  <c r="A474" i="5"/>
  <c r="H473" i="5"/>
  <c r="G473" i="5"/>
  <c r="F473" i="5"/>
  <c r="E473" i="5"/>
  <c r="D473" i="5"/>
  <c r="C473" i="5"/>
  <c r="B473" i="5"/>
  <c r="A473" i="5"/>
  <c r="H472" i="5"/>
  <c r="G472" i="5"/>
  <c r="F472" i="5"/>
  <c r="E472" i="5"/>
  <c r="D472" i="5"/>
  <c r="C472" i="5"/>
  <c r="B472" i="5"/>
  <c r="A472" i="5"/>
  <c r="H471" i="5"/>
  <c r="G471" i="5"/>
  <c r="F471" i="5"/>
  <c r="E471" i="5"/>
  <c r="D471" i="5"/>
  <c r="C471" i="5"/>
  <c r="B471" i="5"/>
  <c r="A471" i="5"/>
  <c r="H470" i="5"/>
  <c r="G470" i="5"/>
  <c r="F470" i="5"/>
  <c r="E470" i="5"/>
  <c r="D470" i="5"/>
  <c r="C470" i="5"/>
  <c r="B470" i="5"/>
  <c r="A470" i="5"/>
  <c r="H469" i="5"/>
  <c r="G469" i="5"/>
  <c r="F469" i="5"/>
  <c r="E469" i="5"/>
  <c r="D469" i="5"/>
  <c r="C469" i="5"/>
  <c r="B469" i="5"/>
  <c r="A469" i="5"/>
  <c r="H468" i="5"/>
  <c r="G468" i="5"/>
  <c r="F468" i="5"/>
  <c r="E468" i="5"/>
  <c r="D468" i="5"/>
  <c r="C468" i="5"/>
  <c r="B468" i="5"/>
  <c r="A468" i="5"/>
  <c r="H467" i="5"/>
  <c r="G467" i="5"/>
  <c r="F467" i="5"/>
  <c r="E467" i="5"/>
  <c r="D467" i="5"/>
  <c r="C467" i="5"/>
  <c r="B467" i="5"/>
  <c r="A467" i="5"/>
  <c r="H466" i="5"/>
  <c r="G466" i="5"/>
  <c r="F466" i="5"/>
  <c r="E466" i="5"/>
  <c r="D466" i="5"/>
  <c r="C466" i="5"/>
  <c r="B466" i="5"/>
  <c r="A466" i="5"/>
  <c r="H465" i="5"/>
  <c r="G465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H463" i="5"/>
  <c r="G463" i="5"/>
  <c r="F463" i="5"/>
  <c r="E463" i="5"/>
  <c r="D463" i="5"/>
  <c r="C463" i="5"/>
  <c r="B463" i="5"/>
  <c r="A463" i="5"/>
  <c r="H462" i="5"/>
  <c r="G462" i="5"/>
  <c r="F462" i="5"/>
  <c r="E462" i="5"/>
  <c r="D462" i="5"/>
  <c r="C462" i="5"/>
  <c r="B462" i="5"/>
  <c r="A462" i="5"/>
  <c r="H461" i="5"/>
  <c r="G461" i="5"/>
  <c r="F461" i="5"/>
  <c r="E461" i="5"/>
  <c r="D461" i="5"/>
  <c r="C461" i="5"/>
  <c r="B461" i="5"/>
  <c r="A461" i="5"/>
  <c r="H460" i="5"/>
  <c r="G460" i="5"/>
  <c r="F460" i="5"/>
  <c r="E460" i="5"/>
  <c r="D460" i="5"/>
  <c r="C460" i="5"/>
  <c r="B460" i="5"/>
  <c r="A460" i="5"/>
  <c r="H459" i="5"/>
  <c r="G459" i="5"/>
  <c r="F459" i="5"/>
  <c r="E459" i="5"/>
  <c r="D459" i="5"/>
  <c r="C459" i="5"/>
  <c r="B459" i="5"/>
  <c r="A459" i="5"/>
  <c r="H458" i="5"/>
  <c r="G458" i="5"/>
  <c r="F458" i="5"/>
  <c r="E458" i="5"/>
  <c r="D458" i="5"/>
  <c r="C458" i="5"/>
  <c r="B458" i="5"/>
  <c r="A458" i="5"/>
  <c r="H457" i="5"/>
  <c r="G457" i="5"/>
  <c r="F457" i="5"/>
  <c r="E457" i="5"/>
  <c r="D457" i="5"/>
  <c r="C457" i="5"/>
  <c r="B457" i="5"/>
  <c r="A457" i="5"/>
  <c r="H456" i="5"/>
  <c r="G456" i="5"/>
  <c r="F456" i="5"/>
  <c r="E456" i="5"/>
  <c r="D456" i="5"/>
  <c r="C456" i="5"/>
  <c r="B456" i="5"/>
  <c r="A456" i="5"/>
  <c r="H455" i="5"/>
  <c r="G455" i="5"/>
  <c r="F455" i="5"/>
  <c r="E455" i="5"/>
  <c r="D455" i="5"/>
  <c r="C455" i="5"/>
  <c r="B455" i="5"/>
  <c r="A455" i="5"/>
  <c r="H454" i="5"/>
  <c r="G454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H452" i="5"/>
  <c r="G452" i="5"/>
  <c r="F452" i="5"/>
  <c r="E452" i="5"/>
  <c r="D452" i="5"/>
  <c r="C452" i="5"/>
  <c r="B452" i="5"/>
  <c r="A452" i="5"/>
  <c r="H451" i="5"/>
  <c r="G451" i="5"/>
  <c r="F451" i="5"/>
  <c r="E451" i="5"/>
  <c r="D451" i="5"/>
  <c r="C451" i="5"/>
  <c r="B451" i="5"/>
  <c r="A451" i="5"/>
  <c r="H450" i="5"/>
  <c r="G450" i="5"/>
  <c r="F450" i="5"/>
  <c r="E450" i="5"/>
  <c r="D450" i="5"/>
  <c r="C450" i="5"/>
  <c r="B450" i="5"/>
  <c r="A450" i="5"/>
  <c r="H449" i="5"/>
  <c r="G449" i="5"/>
  <c r="F449" i="5"/>
  <c r="E449" i="5"/>
  <c r="D449" i="5"/>
  <c r="C449" i="5"/>
  <c r="B449" i="5"/>
  <c r="A449" i="5"/>
  <c r="H448" i="5"/>
  <c r="G448" i="5"/>
  <c r="F448" i="5"/>
  <c r="E448" i="5"/>
  <c r="D448" i="5"/>
  <c r="C448" i="5"/>
  <c r="B448" i="5"/>
  <c r="A448" i="5"/>
  <c r="H447" i="5"/>
  <c r="G447" i="5"/>
  <c r="F447" i="5"/>
  <c r="E447" i="5"/>
  <c r="D447" i="5"/>
  <c r="C447" i="5"/>
  <c r="B447" i="5"/>
  <c r="A447" i="5"/>
  <c r="H446" i="5"/>
  <c r="G446" i="5"/>
  <c r="F446" i="5"/>
  <c r="E446" i="5"/>
  <c r="D446" i="5"/>
  <c r="C446" i="5"/>
  <c r="B446" i="5"/>
  <c r="A446" i="5"/>
  <c r="H445" i="5"/>
  <c r="G445" i="5"/>
  <c r="F445" i="5"/>
  <c r="E445" i="5"/>
  <c r="D445" i="5"/>
  <c r="C445" i="5"/>
  <c r="B445" i="5"/>
  <c r="A445" i="5"/>
  <c r="H444" i="5"/>
  <c r="G444" i="5"/>
  <c r="F444" i="5"/>
  <c r="E444" i="5"/>
  <c r="D444" i="5"/>
  <c r="C444" i="5"/>
  <c r="B444" i="5"/>
  <c r="A444" i="5"/>
  <c r="H443" i="5"/>
  <c r="G443" i="5"/>
  <c r="F443" i="5"/>
  <c r="E443" i="5"/>
  <c r="D443" i="5"/>
  <c r="C443" i="5"/>
  <c r="B443" i="5"/>
  <c r="A443" i="5"/>
  <c r="H442" i="5"/>
  <c r="G442" i="5"/>
  <c r="F442" i="5"/>
  <c r="E442" i="5"/>
  <c r="D442" i="5"/>
  <c r="C442" i="5"/>
  <c r="B442" i="5"/>
  <c r="A442" i="5"/>
  <c r="H441" i="5"/>
  <c r="G441" i="5"/>
  <c r="F441" i="5"/>
  <c r="E441" i="5"/>
  <c r="D441" i="5"/>
  <c r="C441" i="5"/>
  <c r="B441" i="5"/>
  <c r="A441" i="5"/>
  <c r="H440" i="5"/>
  <c r="G440" i="5"/>
  <c r="F440" i="5"/>
  <c r="E440" i="5"/>
  <c r="D440" i="5"/>
  <c r="C440" i="5"/>
  <c r="B440" i="5"/>
  <c r="A440" i="5"/>
  <c r="H439" i="5"/>
  <c r="G439" i="5"/>
  <c r="F439" i="5"/>
  <c r="E439" i="5"/>
  <c r="D439" i="5"/>
  <c r="C439" i="5"/>
  <c r="B439" i="5"/>
  <c r="A439" i="5"/>
  <c r="H438" i="5"/>
  <c r="G438" i="5"/>
  <c r="F438" i="5"/>
  <c r="E438" i="5"/>
  <c r="D438" i="5"/>
  <c r="C438" i="5"/>
  <c r="B438" i="5"/>
  <c r="A438" i="5"/>
  <c r="H437" i="5"/>
  <c r="G437" i="5"/>
  <c r="F437" i="5"/>
  <c r="E437" i="5"/>
  <c r="D437" i="5"/>
  <c r="C437" i="5"/>
  <c r="B437" i="5"/>
  <c r="A437" i="5"/>
  <c r="H436" i="5"/>
  <c r="G436" i="5"/>
  <c r="F436" i="5"/>
  <c r="E436" i="5"/>
  <c r="D436" i="5"/>
  <c r="C436" i="5"/>
  <c r="B436" i="5"/>
  <c r="A436" i="5"/>
  <c r="H435" i="5"/>
  <c r="G435" i="5"/>
  <c r="F435" i="5"/>
  <c r="E435" i="5"/>
  <c r="D435" i="5"/>
  <c r="C435" i="5"/>
  <c r="B435" i="5"/>
  <c r="A435" i="5"/>
  <c r="H434" i="5"/>
  <c r="G434" i="5"/>
  <c r="F434" i="5"/>
  <c r="E434" i="5"/>
  <c r="D434" i="5"/>
  <c r="C434" i="5"/>
  <c r="B434" i="5"/>
  <c r="A434" i="5"/>
  <c r="H433" i="5"/>
  <c r="G433" i="5"/>
  <c r="F433" i="5"/>
  <c r="E433" i="5"/>
  <c r="D433" i="5"/>
  <c r="C433" i="5"/>
  <c r="B433" i="5"/>
  <c r="A433" i="5"/>
  <c r="H432" i="5"/>
  <c r="G432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H428" i="5"/>
  <c r="G428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H426" i="5"/>
  <c r="G426" i="5"/>
  <c r="F426" i="5"/>
  <c r="E426" i="5"/>
  <c r="D426" i="5"/>
  <c r="C426" i="5"/>
  <c r="B426" i="5"/>
  <c r="A426" i="5"/>
  <c r="H425" i="5"/>
  <c r="G425" i="5"/>
  <c r="F425" i="5"/>
  <c r="E425" i="5"/>
  <c r="D425" i="5"/>
  <c r="C425" i="5"/>
  <c r="B425" i="5"/>
  <c r="A425" i="5"/>
  <c r="H424" i="5"/>
  <c r="G424" i="5"/>
  <c r="F424" i="5"/>
  <c r="E424" i="5"/>
  <c r="D424" i="5"/>
  <c r="C424" i="5"/>
  <c r="B424" i="5"/>
  <c r="A424" i="5"/>
  <c r="H423" i="5"/>
  <c r="G423" i="5"/>
  <c r="F423" i="5"/>
  <c r="E423" i="5"/>
  <c r="D423" i="5"/>
  <c r="C423" i="5"/>
  <c r="B423" i="5"/>
  <c r="A423" i="5"/>
  <c r="H422" i="5"/>
  <c r="G422" i="5"/>
  <c r="F422" i="5"/>
  <c r="E422" i="5"/>
  <c r="D422" i="5"/>
  <c r="C422" i="5"/>
  <c r="B422" i="5"/>
  <c r="A422" i="5"/>
  <c r="H421" i="5"/>
  <c r="C421" i="5"/>
  <c r="H420" i="5"/>
  <c r="C420" i="5"/>
  <c r="H419" i="5"/>
  <c r="C419" i="5"/>
  <c r="H418" i="5"/>
  <c r="C418" i="5"/>
  <c r="H417" i="5"/>
  <c r="C417" i="5"/>
  <c r="H416" i="5"/>
  <c r="C416" i="5"/>
  <c r="H415" i="5"/>
  <c r="H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B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H237" i="4"/>
  <c r="G421" i="5" s="1"/>
  <c r="G237" i="4"/>
  <c r="F421" i="5" s="1"/>
  <c r="F237" i="4"/>
  <c r="E421" i="5" s="1"/>
  <c r="E237" i="4"/>
  <c r="D421" i="5" s="1"/>
  <c r="C237" i="4"/>
  <c r="A237" i="4"/>
  <c r="A421" i="5" s="1"/>
  <c r="H236" i="4"/>
  <c r="G420" i="5" s="1"/>
  <c r="G236" i="4"/>
  <c r="F236" i="4"/>
  <c r="E420" i="5" s="1"/>
  <c r="E236" i="4"/>
  <c r="D420" i="5" s="1"/>
  <c r="C236" i="4"/>
  <c r="B420" i="5" s="1"/>
  <c r="B236" i="4"/>
  <c r="A236" i="4"/>
  <c r="A420" i="5" s="1"/>
  <c r="H235" i="4"/>
  <c r="G419" i="5" s="1"/>
  <c r="G235" i="4"/>
  <c r="F419" i="5" s="1"/>
  <c r="F235" i="4"/>
  <c r="E422" i="1" s="1"/>
  <c r="E235" i="4"/>
  <c r="D419" i="5" s="1"/>
  <c r="C235" i="4"/>
  <c r="B419" i="5" s="1"/>
  <c r="A235" i="4"/>
  <c r="A419" i="5" s="1"/>
  <c r="H234" i="4"/>
  <c r="G418" i="5" s="1"/>
  <c r="G234" i="4"/>
  <c r="F418" i="5" s="1"/>
  <c r="F234" i="4"/>
  <c r="E418" i="5" s="1"/>
  <c r="E234" i="4"/>
  <c r="D418" i="5" s="1"/>
  <c r="C234" i="4"/>
  <c r="A234" i="4"/>
  <c r="A418" i="5" s="1"/>
  <c r="H233" i="4"/>
  <c r="G417" i="5" s="1"/>
  <c r="G233" i="4"/>
  <c r="F417" i="5" s="1"/>
  <c r="F233" i="4"/>
  <c r="E233" i="4"/>
  <c r="C233" i="4"/>
  <c r="B417" i="5" s="1"/>
  <c r="A233" i="4"/>
  <c r="A417" i="5" s="1"/>
  <c r="H232" i="4"/>
  <c r="G232" i="4"/>
  <c r="F416" i="5" s="1"/>
  <c r="F232" i="4"/>
  <c r="E416" i="5" s="1"/>
  <c r="E232" i="4"/>
  <c r="D416" i="5" s="1"/>
  <c r="C232" i="4"/>
  <c r="B416" i="5" s="1"/>
  <c r="A232" i="4"/>
  <c r="A416" i="5" s="1"/>
  <c r="H231" i="4"/>
  <c r="G415" i="5" s="1"/>
  <c r="G231" i="4"/>
  <c r="F415" i="5" s="1"/>
  <c r="F231" i="4"/>
  <c r="E231" i="4"/>
  <c r="D415" i="5" s="1"/>
  <c r="D231" i="4"/>
  <c r="C415" i="5" s="1"/>
  <c r="C231" i="4"/>
  <c r="B415" i="5" s="1"/>
  <c r="B231" i="4"/>
  <c r="A231" i="4"/>
  <c r="A415" i="5" s="1"/>
  <c r="H230" i="4"/>
  <c r="G414" i="5" s="1"/>
  <c r="G230" i="4"/>
  <c r="F414" i="5" s="1"/>
  <c r="F230" i="4"/>
  <c r="E230" i="4"/>
  <c r="D414" i="5" s="1"/>
  <c r="D230" i="4"/>
  <c r="C414" i="5" s="1"/>
  <c r="C230" i="4"/>
  <c r="B414" i="5" s="1"/>
  <c r="B230" i="4"/>
  <c r="A230" i="4"/>
  <c r="H229" i="4"/>
  <c r="G413" i="5" s="1"/>
  <c r="G229" i="4"/>
  <c r="F413" i="5" s="1"/>
  <c r="F229" i="4"/>
  <c r="E229" i="4"/>
  <c r="D413" i="5" s="1"/>
  <c r="D229" i="4"/>
  <c r="C413" i="5" s="1"/>
  <c r="C229" i="4"/>
  <c r="B413" i="5" s="1"/>
  <c r="B229" i="4"/>
  <c r="A229" i="4"/>
  <c r="H228" i="4"/>
  <c r="G412" i="5" s="1"/>
  <c r="G228" i="4"/>
  <c r="F412" i="5" s="1"/>
  <c r="F228" i="4"/>
  <c r="E228" i="4"/>
  <c r="D412" i="5" s="1"/>
  <c r="D228" i="4"/>
  <c r="C412" i="5" s="1"/>
  <c r="C228" i="4"/>
  <c r="B412" i="5" s="1"/>
  <c r="B228" i="4"/>
  <c r="A228" i="4"/>
  <c r="A412" i="5" s="1"/>
  <c r="H227" i="4"/>
  <c r="G411" i="5" s="1"/>
  <c r="G227" i="4"/>
  <c r="F411" i="5" s="1"/>
  <c r="F227" i="4"/>
  <c r="E227" i="4"/>
  <c r="D411" i="5" s="1"/>
  <c r="D227" i="4"/>
  <c r="C411" i="5" s="1"/>
  <c r="C227" i="4"/>
  <c r="B411" i="5" s="1"/>
  <c r="B227" i="4"/>
  <c r="A227" i="4"/>
  <c r="H226" i="4"/>
  <c r="G410" i="5" s="1"/>
  <c r="G226" i="4"/>
  <c r="F410" i="5" s="1"/>
  <c r="F226" i="4"/>
  <c r="E226" i="4"/>
  <c r="D410" i="5" s="1"/>
  <c r="D226" i="4"/>
  <c r="C410" i="5" s="1"/>
  <c r="C226" i="4"/>
  <c r="B410" i="5" s="1"/>
  <c r="B226" i="4"/>
  <c r="A226" i="4"/>
  <c r="H225" i="4"/>
  <c r="G409" i="5" s="1"/>
  <c r="G225" i="4"/>
  <c r="F409" i="5" s="1"/>
  <c r="F225" i="4"/>
  <c r="E225" i="4"/>
  <c r="D409" i="5" s="1"/>
  <c r="D225" i="4"/>
  <c r="C409" i="5" s="1"/>
  <c r="C225" i="4"/>
  <c r="B409" i="5" s="1"/>
  <c r="B225" i="4"/>
  <c r="A225" i="4"/>
  <c r="H224" i="4"/>
  <c r="G408" i="5" s="1"/>
  <c r="G224" i="4"/>
  <c r="F408" i="5" s="1"/>
  <c r="F224" i="4"/>
  <c r="E224" i="4"/>
  <c r="D408" i="5" s="1"/>
  <c r="D224" i="4"/>
  <c r="C408" i="5" s="1"/>
  <c r="C224" i="4"/>
  <c r="B408" i="5" s="1"/>
  <c r="B224" i="4"/>
  <c r="A224" i="4"/>
  <c r="A408" i="5" s="1"/>
  <c r="H223" i="4"/>
  <c r="G407" i="5" s="1"/>
  <c r="G223" i="4"/>
  <c r="F407" i="5" s="1"/>
  <c r="F223" i="4"/>
  <c r="E223" i="4"/>
  <c r="D407" i="5" s="1"/>
  <c r="D223" i="4"/>
  <c r="C407" i="5" s="1"/>
  <c r="C223" i="4"/>
  <c r="B407" i="5" s="1"/>
  <c r="B223" i="4"/>
  <c r="A223" i="4"/>
  <c r="A407" i="5" s="1"/>
  <c r="H222" i="4"/>
  <c r="G406" i="5" s="1"/>
  <c r="G222" i="4"/>
  <c r="F406" i="5" s="1"/>
  <c r="F222" i="4"/>
  <c r="E222" i="4"/>
  <c r="D406" i="5" s="1"/>
  <c r="D222" i="4"/>
  <c r="C406" i="5" s="1"/>
  <c r="C222" i="4"/>
  <c r="B406" i="5" s="1"/>
  <c r="B222" i="4"/>
  <c r="A222" i="4"/>
  <c r="H221" i="4"/>
  <c r="G405" i="5" s="1"/>
  <c r="G221" i="4"/>
  <c r="F405" i="5" s="1"/>
  <c r="F221" i="4"/>
  <c r="E221" i="4"/>
  <c r="D405" i="5" s="1"/>
  <c r="D221" i="4"/>
  <c r="C405" i="5" s="1"/>
  <c r="C221" i="4"/>
  <c r="B405" i="5" s="1"/>
  <c r="B221" i="4"/>
  <c r="A221" i="4"/>
  <c r="H220" i="4"/>
  <c r="G404" i="5" s="1"/>
  <c r="G220" i="4"/>
  <c r="F404" i="5" s="1"/>
  <c r="F220" i="4"/>
  <c r="E220" i="4"/>
  <c r="D404" i="5" s="1"/>
  <c r="D220" i="4"/>
  <c r="C404" i="5" s="1"/>
  <c r="C220" i="4"/>
  <c r="B404" i="5" s="1"/>
  <c r="B220" i="4"/>
  <c r="A220" i="4"/>
  <c r="H219" i="4"/>
  <c r="G403" i="5" s="1"/>
  <c r="G219" i="4"/>
  <c r="F403" i="5" s="1"/>
  <c r="F219" i="4"/>
  <c r="E219" i="4"/>
  <c r="D403" i="5" s="1"/>
  <c r="D219" i="4"/>
  <c r="C403" i="5" s="1"/>
  <c r="C219" i="4"/>
  <c r="B403" i="5" s="1"/>
  <c r="B219" i="4"/>
  <c r="A219" i="4"/>
  <c r="H218" i="4"/>
  <c r="G402" i="5" s="1"/>
  <c r="G218" i="4"/>
  <c r="F402" i="5" s="1"/>
  <c r="F218" i="4"/>
  <c r="E218" i="4"/>
  <c r="D402" i="5" s="1"/>
  <c r="D218" i="4"/>
  <c r="C402" i="5" s="1"/>
  <c r="C218" i="4"/>
  <c r="B402" i="5" s="1"/>
  <c r="B218" i="4"/>
  <c r="A218" i="4"/>
  <c r="A402" i="5" s="1"/>
  <c r="H217" i="4"/>
  <c r="G401" i="5" s="1"/>
  <c r="G217" i="4"/>
  <c r="F401" i="5" s="1"/>
  <c r="F217" i="4"/>
  <c r="E217" i="4"/>
  <c r="D401" i="5" s="1"/>
  <c r="D217" i="4"/>
  <c r="C401" i="5" s="1"/>
  <c r="C217" i="4"/>
  <c r="B401" i="5" s="1"/>
  <c r="B217" i="4"/>
  <c r="A217" i="4"/>
  <c r="A401" i="5" s="1"/>
  <c r="H216" i="4"/>
  <c r="G400" i="5" s="1"/>
  <c r="G216" i="4"/>
  <c r="F400" i="5" s="1"/>
  <c r="F216" i="4"/>
  <c r="E400" i="5" s="1"/>
  <c r="E216" i="4"/>
  <c r="D400" i="5" s="1"/>
  <c r="D216" i="4"/>
  <c r="C400" i="5" s="1"/>
  <c r="C216" i="4"/>
  <c r="B400" i="5" s="1"/>
  <c r="B216" i="4"/>
  <c r="A216" i="4"/>
  <c r="A400" i="5" s="1"/>
  <c r="H215" i="4"/>
  <c r="G399" i="5" s="1"/>
  <c r="G215" i="4"/>
  <c r="F399" i="5" s="1"/>
  <c r="F215" i="4"/>
  <c r="E215" i="4"/>
  <c r="D399" i="5" s="1"/>
  <c r="D215" i="4"/>
  <c r="C399" i="5" s="1"/>
  <c r="C215" i="4"/>
  <c r="B399" i="5" s="1"/>
  <c r="B215" i="4"/>
  <c r="A215" i="4"/>
  <c r="A399" i="5" s="1"/>
  <c r="H214" i="4"/>
  <c r="G398" i="5" s="1"/>
  <c r="G214" i="4"/>
  <c r="F398" i="5" s="1"/>
  <c r="F214" i="4"/>
  <c r="E398" i="5" s="1"/>
  <c r="E214" i="4"/>
  <c r="D398" i="5" s="1"/>
  <c r="D214" i="4"/>
  <c r="C398" i="5" s="1"/>
  <c r="C214" i="4"/>
  <c r="B398" i="5" s="1"/>
  <c r="B214" i="4"/>
  <c r="A214" i="4"/>
  <c r="H213" i="4"/>
  <c r="G397" i="5" s="1"/>
  <c r="G213" i="4"/>
  <c r="F397" i="5" s="1"/>
  <c r="F213" i="4"/>
  <c r="E213" i="4"/>
  <c r="D397" i="5" s="1"/>
  <c r="D213" i="4"/>
  <c r="C397" i="5" s="1"/>
  <c r="C213" i="4"/>
  <c r="B397" i="5" s="1"/>
  <c r="B213" i="4"/>
  <c r="A213" i="4"/>
  <c r="H212" i="4"/>
  <c r="G396" i="5" s="1"/>
  <c r="G212" i="4"/>
  <c r="F396" i="5" s="1"/>
  <c r="F212" i="4"/>
  <c r="E212" i="4"/>
  <c r="D396" i="5" s="1"/>
  <c r="D212" i="4"/>
  <c r="C396" i="5" s="1"/>
  <c r="C212" i="4"/>
  <c r="B396" i="5" s="1"/>
  <c r="B212" i="4"/>
  <c r="A212" i="4"/>
  <c r="A396" i="5" s="1"/>
  <c r="H211" i="4"/>
  <c r="G395" i="5" s="1"/>
  <c r="G211" i="4"/>
  <c r="F395" i="5" s="1"/>
  <c r="F211" i="4"/>
  <c r="E211" i="4"/>
  <c r="D395" i="5" s="1"/>
  <c r="D211" i="4"/>
  <c r="C395" i="5" s="1"/>
  <c r="C211" i="4"/>
  <c r="B395" i="5" s="1"/>
  <c r="B211" i="4"/>
  <c r="A211" i="4"/>
  <c r="A395" i="5" s="1"/>
  <c r="H210" i="4"/>
  <c r="G394" i="5" s="1"/>
  <c r="G210" i="4"/>
  <c r="F394" i="5" s="1"/>
  <c r="F210" i="4"/>
  <c r="E210" i="4"/>
  <c r="D394" i="5" s="1"/>
  <c r="D210" i="4"/>
  <c r="C394" i="5" s="1"/>
  <c r="C210" i="4"/>
  <c r="B394" i="5" s="1"/>
  <c r="B210" i="4"/>
  <c r="A210" i="4"/>
  <c r="A394" i="5" s="1"/>
  <c r="H209" i="4"/>
  <c r="G393" i="5" s="1"/>
  <c r="G209" i="4"/>
  <c r="F393" i="5" s="1"/>
  <c r="F209" i="4"/>
  <c r="E209" i="4"/>
  <c r="D393" i="5" s="1"/>
  <c r="D209" i="4"/>
  <c r="C393" i="5" s="1"/>
  <c r="C209" i="4"/>
  <c r="B393" i="5" s="1"/>
  <c r="B209" i="4"/>
  <c r="A209" i="4"/>
  <c r="A393" i="5" s="1"/>
  <c r="H208" i="4"/>
  <c r="G392" i="5" s="1"/>
  <c r="G208" i="4"/>
  <c r="F392" i="5" s="1"/>
  <c r="F208" i="4"/>
  <c r="E208" i="4"/>
  <c r="D392" i="5" s="1"/>
  <c r="D208" i="4"/>
  <c r="C392" i="5" s="1"/>
  <c r="C208" i="4"/>
  <c r="B392" i="5" s="1"/>
  <c r="B208" i="4"/>
  <c r="A208" i="4"/>
  <c r="A392" i="5" s="1"/>
  <c r="H207" i="4"/>
  <c r="G391" i="5" s="1"/>
  <c r="G207" i="4"/>
  <c r="F391" i="5" s="1"/>
  <c r="F207" i="4"/>
  <c r="E207" i="4"/>
  <c r="D391" i="5" s="1"/>
  <c r="D207" i="4"/>
  <c r="C391" i="5" s="1"/>
  <c r="C207" i="4"/>
  <c r="B391" i="5" s="1"/>
  <c r="B207" i="4"/>
  <c r="A207" i="4"/>
  <c r="A391" i="5" s="1"/>
  <c r="H206" i="4"/>
  <c r="G390" i="5" s="1"/>
  <c r="G206" i="4"/>
  <c r="F390" i="5" s="1"/>
  <c r="F206" i="4"/>
  <c r="E206" i="4"/>
  <c r="D390" i="5" s="1"/>
  <c r="D206" i="4"/>
  <c r="C390" i="5" s="1"/>
  <c r="C206" i="4"/>
  <c r="B390" i="5" s="1"/>
  <c r="B206" i="4"/>
  <c r="A206" i="4"/>
  <c r="H205" i="4"/>
  <c r="G389" i="5" s="1"/>
  <c r="G205" i="4"/>
  <c r="F389" i="5" s="1"/>
  <c r="F205" i="4"/>
  <c r="E205" i="4"/>
  <c r="D389" i="5" s="1"/>
  <c r="D205" i="4"/>
  <c r="C389" i="5" s="1"/>
  <c r="C205" i="4"/>
  <c r="B389" i="5" s="1"/>
  <c r="B205" i="4"/>
  <c r="A205" i="4"/>
  <c r="H204" i="4"/>
  <c r="G388" i="5" s="1"/>
  <c r="G204" i="4"/>
  <c r="F388" i="5" s="1"/>
  <c r="F204" i="4"/>
  <c r="E204" i="4"/>
  <c r="D388" i="5" s="1"/>
  <c r="D204" i="4"/>
  <c r="C388" i="5" s="1"/>
  <c r="C204" i="4"/>
  <c r="B388" i="5" s="1"/>
  <c r="B204" i="4"/>
  <c r="A204" i="4"/>
  <c r="A388" i="5" s="1"/>
  <c r="H203" i="4"/>
  <c r="G387" i="5" s="1"/>
  <c r="G203" i="4"/>
  <c r="F387" i="5" s="1"/>
  <c r="F203" i="4"/>
  <c r="E203" i="4"/>
  <c r="D387" i="5" s="1"/>
  <c r="D203" i="4"/>
  <c r="C387" i="5" s="1"/>
  <c r="C203" i="4"/>
  <c r="B387" i="5" s="1"/>
  <c r="B203" i="4"/>
  <c r="A203" i="4"/>
  <c r="H202" i="4"/>
  <c r="G386" i="5" s="1"/>
  <c r="G202" i="4"/>
  <c r="F386" i="5" s="1"/>
  <c r="F202" i="4"/>
  <c r="E380" i="3" s="1"/>
  <c r="E202" i="4"/>
  <c r="D386" i="5" s="1"/>
  <c r="D202" i="4"/>
  <c r="C386" i="5" s="1"/>
  <c r="C202" i="4"/>
  <c r="B386" i="5" s="1"/>
  <c r="B202" i="4"/>
  <c r="A202" i="4"/>
  <c r="A386" i="5" s="1"/>
  <c r="H201" i="4"/>
  <c r="G385" i="5" s="1"/>
  <c r="G201" i="4"/>
  <c r="F385" i="5" s="1"/>
  <c r="F201" i="4"/>
  <c r="E201" i="4"/>
  <c r="D385" i="5" s="1"/>
  <c r="D201" i="4"/>
  <c r="C385" i="5" s="1"/>
  <c r="C201" i="4"/>
  <c r="B385" i="5" s="1"/>
  <c r="B201" i="4"/>
  <c r="A201" i="4"/>
  <c r="H200" i="4"/>
  <c r="G384" i="5" s="1"/>
  <c r="G200" i="4"/>
  <c r="F384" i="5" s="1"/>
  <c r="F200" i="4"/>
  <c r="E200" i="4"/>
  <c r="D384" i="5" s="1"/>
  <c r="D200" i="4"/>
  <c r="C384" i="5" s="1"/>
  <c r="C200" i="4"/>
  <c r="B384" i="5" s="1"/>
  <c r="B200" i="4"/>
  <c r="A200" i="4"/>
  <c r="A384" i="5" s="1"/>
  <c r="H199" i="4"/>
  <c r="G383" i="5" s="1"/>
  <c r="G199" i="4"/>
  <c r="F383" i="5" s="1"/>
  <c r="F199" i="4"/>
  <c r="E199" i="4"/>
  <c r="D383" i="5" s="1"/>
  <c r="D199" i="4"/>
  <c r="C383" i="5" s="1"/>
  <c r="C199" i="4"/>
  <c r="B383" i="5" s="1"/>
  <c r="B199" i="4"/>
  <c r="A199" i="4"/>
  <c r="A383" i="5" s="1"/>
  <c r="H198" i="4"/>
  <c r="G382" i="5" s="1"/>
  <c r="G198" i="4"/>
  <c r="F382" i="5" s="1"/>
  <c r="F198" i="4"/>
  <c r="E198" i="4"/>
  <c r="D382" i="5" s="1"/>
  <c r="D198" i="4"/>
  <c r="C382" i="5" s="1"/>
  <c r="C198" i="4"/>
  <c r="B382" i="5" s="1"/>
  <c r="B198" i="4"/>
  <c r="A198" i="4"/>
  <c r="H197" i="4"/>
  <c r="G381" i="5" s="1"/>
  <c r="G197" i="4"/>
  <c r="F381" i="5" s="1"/>
  <c r="F197" i="4"/>
  <c r="E197" i="4"/>
  <c r="D381" i="5" s="1"/>
  <c r="D197" i="4"/>
  <c r="C381" i="5" s="1"/>
  <c r="C197" i="4"/>
  <c r="B381" i="5" s="1"/>
  <c r="B197" i="4"/>
  <c r="A197" i="4"/>
  <c r="H196" i="4"/>
  <c r="G380" i="5" s="1"/>
  <c r="G196" i="4"/>
  <c r="F380" i="5" s="1"/>
  <c r="F196" i="4"/>
  <c r="E196" i="4"/>
  <c r="D380" i="5" s="1"/>
  <c r="D196" i="4"/>
  <c r="C380" i="5" s="1"/>
  <c r="C196" i="4"/>
  <c r="B380" i="5" s="1"/>
  <c r="B196" i="4"/>
  <c r="A196" i="4"/>
  <c r="A380" i="5" s="1"/>
  <c r="H195" i="4"/>
  <c r="G379" i="5" s="1"/>
  <c r="G195" i="4"/>
  <c r="F379" i="5" s="1"/>
  <c r="F195" i="4"/>
  <c r="E195" i="4"/>
  <c r="D379" i="5" s="1"/>
  <c r="D195" i="4"/>
  <c r="C379" i="5" s="1"/>
  <c r="C195" i="4"/>
  <c r="B379" i="5" s="1"/>
  <c r="B195" i="4"/>
  <c r="A195" i="4"/>
  <c r="A379" i="5" s="1"/>
  <c r="H194" i="4"/>
  <c r="G378" i="5" s="1"/>
  <c r="G194" i="4"/>
  <c r="F378" i="5" s="1"/>
  <c r="F194" i="4"/>
  <c r="E194" i="4"/>
  <c r="D378" i="5" s="1"/>
  <c r="D194" i="4"/>
  <c r="C378" i="5" s="1"/>
  <c r="C194" i="4"/>
  <c r="B378" i="5" s="1"/>
  <c r="B194" i="4"/>
  <c r="A194" i="4"/>
  <c r="H193" i="4"/>
  <c r="G377" i="5" s="1"/>
  <c r="G193" i="4"/>
  <c r="F377" i="5" s="1"/>
  <c r="F193" i="4"/>
  <c r="E193" i="4"/>
  <c r="D377" i="5" s="1"/>
  <c r="D193" i="4"/>
  <c r="C377" i="5" s="1"/>
  <c r="C193" i="4"/>
  <c r="B377" i="5" s="1"/>
  <c r="B193" i="4"/>
  <c r="A193" i="4"/>
  <c r="A377" i="5" s="1"/>
  <c r="H192" i="4"/>
  <c r="G376" i="5" s="1"/>
  <c r="G192" i="4"/>
  <c r="F376" i="5" s="1"/>
  <c r="F192" i="4"/>
  <c r="E192" i="4"/>
  <c r="D376" i="5" s="1"/>
  <c r="D192" i="4"/>
  <c r="C376" i="5" s="1"/>
  <c r="C192" i="4"/>
  <c r="B376" i="5" s="1"/>
  <c r="B192" i="4"/>
  <c r="A192" i="4"/>
  <c r="A376" i="5" s="1"/>
  <c r="H191" i="4"/>
  <c r="G375" i="5" s="1"/>
  <c r="G191" i="4"/>
  <c r="F375" i="5" s="1"/>
  <c r="F191" i="4"/>
  <c r="E191" i="4"/>
  <c r="D375" i="5" s="1"/>
  <c r="D191" i="4"/>
  <c r="C375" i="5" s="1"/>
  <c r="C191" i="4"/>
  <c r="B375" i="5" s="1"/>
  <c r="B191" i="4"/>
  <c r="A191" i="4"/>
  <c r="A375" i="5" s="1"/>
  <c r="H190" i="4"/>
  <c r="G374" i="5" s="1"/>
  <c r="G190" i="4"/>
  <c r="F374" i="5" s="1"/>
  <c r="F190" i="4"/>
  <c r="E190" i="4"/>
  <c r="D374" i="5" s="1"/>
  <c r="D190" i="4"/>
  <c r="C374" i="5" s="1"/>
  <c r="C190" i="4"/>
  <c r="B368" i="3" s="1"/>
  <c r="B190" i="4"/>
  <c r="A190" i="4"/>
  <c r="H189" i="4"/>
  <c r="G373" i="5" s="1"/>
  <c r="G189" i="4"/>
  <c r="F373" i="5" s="1"/>
  <c r="F189" i="4"/>
  <c r="E189" i="4"/>
  <c r="D373" i="5" s="1"/>
  <c r="D189" i="4"/>
  <c r="C373" i="5" s="1"/>
  <c r="C189" i="4"/>
  <c r="B373" i="5" s="1"/>
  <c r="B189" i="4"/>
  <c r="A189" i="4"/>
  <c r="H188" i="4"/>
  <c r="G188" i="4"/>
  <c r="F372" i="5" s="1"/>
  <c r="F188" i="4"/>
  <c r="E188" i="4"/>
  <c r="D372" i="5" s="1"/>
  <c r="D188" i="4"/>
  <c r="C372" i="5" s="1"/>
  <c r="C188" i="4"/>
  <c r="B372" i="5" s="1"/>
  <c r="B188" i="4"/>
  <c r="A188" i="4"/>
  <c r="A372" i="5" s="1"/>
  <c r="H187" i="4"/>
  <c r="G371" i="5" s="1"/>
  <c r="G187" i="4"/>
  <c r="F371" i="5" s="1"/>
  <c r="F187" i="4"/>
  <c r="E187" i="4"/>
  <c r="D371" i="5" s="1"/>
  <c r="D187" i="4"/>
  <c r="C371" i="5" s="1"/>
  <c r="C187" i="4"/>
  <c r="B371" i="5" s="1"/>
  <c r="B187" i="4"/>
  <c r="A187" i="4"/>
  <c r="A371" i="5" s="1"/>
  <c r="H186" i="4"/>
  <c r="G370" i="5" s="1"/>
  <c r="G186" i="4"/>
  <c r="F370" i="5" s="1"/>
  <c r="F186" i="4"/>
  <c r="E186" i="4"/>
  <c r="D370" i="5" s="1"/>
  <c r="D186" i="4"/>
  <c r="C370" i="5" s="1"/>
  <c r="C186" i="4"/>
  <c r="B370" i="5" s="1"/>
  <c r="B186" i="4"/>
  <c r="A186" i="4"/>
  <c r="H185" i="4"/>
  <c r="G369" i="5" s="1"/>
  <c r="G185" i="4"/>
  <c r="F369" i="5" s="1"/>
  <c r="F185" i="4"/>
  <c r="E185" i="4"/>
  <c r="D369" i="5" s="1"/>
  <c r="D185" i="4"/>
  <c r="C185" i="4"/>
  <c r="B369" i="5" s="1"/>
  <c r="B185" i="4"/>
  <c r="A185" i="4"/>
  <c r="A369" i="5" s="1"/>
  <c r="H184" i="4"/>
  <c r="G368" i="5" s="1"/>
  <c r="G184" i="4"/>
  <c r="F368" i="5" s="1"/>
  <c r="F184" i="4"/>
  <c r="E184" i="4"/>
  <c r="D368" i="5" s="1"/>
  <c r="D184" i="4"/>
  <c r="C368" i="5" s="1"/>
  <c r="C184" i="4"/>
  <c r="B368" i="5" s="1"/>
  <c r="B184" i="4"/>
  <c r="A184" i="4"/>
  <c r="A368" i="5" s="1"/>
  <c r="H183" i="4"/>
  <c r="G367" i="5" s="1"/>
  <c r="G183" i="4"/>
  <c r="F367" i="5" s="1"/>
  <c r="F183" i="4"/>
  <c r="E183" i="4"/>
  <c r="D367" i="5" s="1"/>
  <c r="D183" i="4"/>
  <c r="C367" i="5" s="1"/>
  <c r="C183" i="4"/>
  <c r="B367" i="5" s="1"/>
  <c r="B183" i="4"/>
  <c r="A183" i="4"/>
  <c r="H182" i="4"/>
  <c r="G366" i="5" s="1"/>
  <c r="G182" i="4"/>
  <c r="F366" i="5" s="1"/>
  <c r="F182" i="4"/>
  <c r="E182" i="4"/>
  <c r="D366" i="5" s="1"/>
  <c r="D182" i="4"/>
  <c r="C366" i="5" s="1"/>
  <c r="C182" i="4"/>
  <c r="B366" i="5" s="1"/>
  <c r="B182" i="4"/>
  <c r="A182" i="4"/>
  <c r="H181" i="4"/>
  <c r="G365" i="5" s="1"/>
  <c r="G181" i="4"/>
  <c r="F365" i="5" s="1"/>
  <c r="F181" i="4"/>
  <c r="E181" i="4"/>
  <c r="D365" i="5" s="1"/>
  <c r="D181" i="4"/>
  <c r="C365" i="5" s="1"/>
  <c r="C181" i="4"/>
  <c r="B365" i="5" s="1"/>
  <c r="B181" i="4"/>
  <c r="A181" i="4"/>
  <c r="H180" i="4"/>
  <c r="G364" i="5" s="1"/>
  <c r="G180" i="4"/>
  <c r="F364" i="5" s="1"/>
  <c r="F180" i="4"/>
  <c r="E180" i="4"/>
  <c r="D364" i="5" s="1"/>
  <c r="D180" i="4"/>
  <c r="C180" i="4"/>
  <c r="B364" i="5" s="1"/>
  <c r="B180" i="4"/>
  <c r="A180" i="4"/>
  <c r="A364" i="5" s="1"/>
  <c r="H179" i="4"/>
  <c r="G363" i="5" s="1"/>
  <c r="G179" i="4"/>
  <c r="F363" i="5" s="1"/>
  <c r="F179" i="4"/>
  <c r="E363" i="5" s="1"/>
  <c r="E179" i="4"/>
  <c r="D363" i="5" s="1"/>
  <c r="D179" i="4"/>
  <c r="C179" i="4"/>
  <c r="B363" i="5" s="1"/>
  <c r="B179" i="4"/>
  <c r="A179" i="4"/>
  <c r="H178" i="4"/>
  <c r="G362" i="5" s="1"/>
  <c r="G178" i="4"/>
  <c r="F362" i="5" s="1"/>
  <c r="F178" i="4"/>
  <c r="E178" i="4"/>
  <c r="D362" i="5" s="1"/>
  <c r="D178" i="4"/>
  <c r="C362" i="5" s="1"/>
  <c r="C178" i="4"/>
  <c r="B178" i="4"/>
  <c r="A178" i="4"/>
  <c r="H177" i="4"/>
  <c r="G361" i="5" s="1"/>
  <c r="G177" i="4"/>
  <c r="F361" i="5" s="1"/>
  <c r="F177" i="4"/>
  <c r="E177" i="4"/>
  <c r="D361" i="5" s="1"/>
  <c r="D177" i="4"/>
  <c r="C361" i="5" s="1"/>
  <c r="C177" i="4"/>
  <c r="B361" i="5" s="1"/>
  <c r="B177" i="4"/>
  <c r="A177" i="4"/>
  <c r="H176" i="4"/>
  <c r="G360" i="5" s="1"/>
  <c r="G176" i="4"/>
  <c r="F360" i="5" s="1"/>
  <c r="F176" i="4"/>
  <c r="E176" i="4"/>
  <c r="D360" i="5" s="1"/>
  <c r="D176" i="4"/>
  <c r="C360" i="5" s="1"/>
  <c r="C176" i="4"/>
  <c r="B360" i="5" s="1"/>
  <c r="B176" i="4"/>
  <c r="A176" i="4"/>
  <c r="A360" i="5" s="1"/>
  <c r="H175" i="4"/>
  <c r="G359" i="5" s="1"/>
  <c r="G175" i="4"/>
  <c r="F359" i="5" s="1"/>
  <c r="F175" i="4"/>
  <c r="E175" i="4"/>
  <c r="D359" i="5" s="1"/>
  <c r="D175" i="4"/>
  <c r="C359" i="5" s="1"/>
  <c r="C175" i="4"/>
  <c r="B359" i="5" s="1"/>
  <c r="B175" i="4"/>
  <c r="A175" i="4"/>
  <c r="A359" i="5" s="1"/>
  <c r="H174" i="4"/>
  <c r="G358" i="5" s="1"/>
  <c r="G174" i="4"/>
  <c r="F358" i="5" s="1"/>
  <c r="F174" i="4"/>
  <c r="E174" i="4"/>
  <c r="D358" i="5" s="1"/>
  <c r="D174" i="4"/>
  <c r="C358" i="5" s="1"/>
  <c r="C174" i="4"/>
  <c r="B358" i="5" s="1"/>
  <c r="B174" i="4"/>
  <c r="A174" i="4"/>
  <c r="H173" i="4"/>
  <c r="G357" i="5" s="1"/>
  <c r="G173" i="4"/>
  <c r="F357" i="5" s="1"/>
  <c r="F173" i="4"/>
  <c r="E173" i="4"/>
  <c r="D357" i="5" s="1"/>
  <c r="D173" i="4"/>
  <c r="C173" i="4"/>
  <c r="B357" i="5" s="1"/>
  <c r="B173" i="4"/>
  <c r="A173" i="4"/>
  <c r="H172" i="4"/>
  <c r="G356" i="5" s="1"/>
  <c r="G172" i="4"/>
  <c r="F356" i="5" s="1"/>
  <c r="F172" i="4"/>
  <c r="E172" i="4"/>
  <c r="D356" i="5" s="1"/>
  <c r="D172" i="4"/>
  <c r="C356" i="5" s="1"/>
  <c r="C172" i="4"/>
  <c r="B356" i="5" s="1"/>
  <c r="B172" i="4"/>
  <c r="A172" i="4"/>
  <c r="A356" i="5" s="1"/>
  <c r="H171" i="4"/>
  <c r="G355" i="5" s="1"/>
  <c r="G171" i="4"/>
  <c r="F355" i="5" s="1"/>
  <c r="F171" i="4"/>
  <c r="E171" i="4"/>
  <c r="D355" i="5" s="1"/>
  <c r="D171" i="4"/>
  <c r="C355" i="5" s="1"/>
  <c r="C171" i="4"/>
  <c r="B355" i="5" s="1"/>
  <c r="B171" i="4"/>
  <c r="A171" i="4"/>
  <c r="A355" i="5" s="1"/>
  <c r="H170" i="4"/>
  <c r="G354" i="5" s="1"/>
  <c r="G170" i="4"/>
  <c r="F354" i="5" s="1"/>
  <c r="F170" i="4"/>
  <c r="E170" i="4"/>
  <c r="D354" i="5" s="1"/>
  <c r="D170" i="4"/>
  <c r="C354" i="5" s="1"/>
  <c r="C170" i="4"/>
  <c r="B354" i="5" s="1"/>
  <c r="B170" i="4"/>
  <c r="A170" i="4"/>
  <c r="H169" i="4"/>
  <c r="G169" i="4"/>
  <c r="F353" i="5" s="1"/>
  <c r="F169" i="4"/>
  <c r="E169" i="4"/>
  <c r="D353" i="5" s="1"/>
  <c r="D169" i="4"/>
  <c r="C353" i="5" s="1"/>
  <c r="C169" i="4"/>
  <c r="B353" i="5" s="1"/>
  <c r="B169" i="4"/>
  <c r="A169" i="4"/>
  <c r="A353" i="5" s="1"/>
  <c r="H168" i="4"/>
  <c r="G352" i="5" s="1"/>
  <c r="G168" i="4"/>
  <c r="F168" i="4"/>
  <c r="E168" i="4"/>
  <c r="D168" i="4"/>
  <c r="C352" i="5" s="1"/>
  <c r="C168" i="4"/>
  <c r="B352" i="5" s="1"/>
  <c r="B168" i="4"/>
  <c r="A168" i="4"/>
  <c r="A352" i="5" s="1"/>
  <c r="H167" i="4"/>
  <c r="G351" i="5" s="1"/>
  <c r="G167" i="4"/>
  <c r="F351" i="5" s="1"/>
  <c r="F167" i="4"/>
  <c r="E167" i="4"/>
  <c r="D167" i="4"/>
  <c r="C351" i="5" s="1"/>
  <c r="C167" i="4"/>
  <c r="B351" i="5" s="1"/>
  <c r="B167" i="4"/>
  <c r="A167" i="4"/>
  <c r="A351" i="5" s="1"/>
  <c r="H166" i="4"/>
  <c r="G350" i="5" s="1"/>
  <c r="G166" i="4"/>
  <c r="F350" i="5" s="1"/>
  <c r="F166" i="4"/>
  <c r="E166" i="4"/>
  <c r="D350" i="5" s="1"/>
  <c r="D166" i="4"/>
  <c r="C350" i="5" s="1"/>
  <c r="C166" i="4"/>
  <c r="B166" i="4"/>
  <c r="A166" i="4"/>
  <c r="H165" i="4"/>
  <c r="G349" i="5" s="1"/>
  <c r="G165" i="4"/>
  <c r="F349" i="5" s="1"/>
  <c r="F165" i="4"/>
  <c r="E165" i="4"/>
  <c r="D165" i="4"/>
  <c r="C349" i="5" s="1"/>
  <c r="C165" i="4"/>
  <c r="B349" i="5" s="1"/>
  <c r="B165" i="4"/>
  <c r="A165" i="4"/>
  <c r="H164" i="4"/>
  <c r="G348" i="5" s="1"/>
  <c r="G164" i="4"/>
  <c r="F164" i="4"/>
  <c r="E164" i="4"/>
  <c r="D348" i="5" s="1"/>
  <c r="D164" i="4"/>
  <c r="C348" i="5" s="1"/>
  <c r="C164" i="4"/>
  <c r="B348" i="5" s="1"/>
  <c r="B164" i="4"/>
  <c r="A164" i="4"/>
  <c r="H163" i="4"/>
  <c r="G347" i="5" s="1"/>
  <c r="G163" i="4"/>
  <c r="F347" i="5" s="1"/>
  <c r="F163" i="4"/>
  <c r="E163" i="4"/>
  <c r="D163" i="4"/>
  <c r="C347" i="5" s="1"/>
  <c r="C163" i="4"/>
  <c r="B347" i="5" s="1"/>
  <c r="B163" i="4"/>
  <c r="A163" i="4"/>
  <c r="H162" i="4"/>
  <c r="G346" i="5" s="1"/>
  <c r="G162" i="4"/>
  <c r="F346" i="5" s="1"/>
  <c r="F162" i="4"/>
  <c r="E162" i="4"/>
  <c r="D346" i="5" s="1"/>
  <c r="D162" i="4"/>
  <c r="C346" i="5" s="1"/>
  <c r="C162" i="4"/>
  <c r="B162" i="4"/>
  <c r="A162" i="4"/>
  <c r="H161" i="4"/>
  <c r="G345" i="5" s="1"/>
  <c r="G161" i="4"/>
  <c r="F345" i="5" s="1"/>
  <c r="F161" i="4"/>
  <c r="E161" i="4"/>
  <c r="D345" i="5" s="1"/>
  <c r="D161" i="4"/>
  <c r="C345" i="5" s="1"/>
  <c r="C161" i="4"/>
  <c r="B345" i="5" s="1"/>
  <c r="B161" i="4"/>
  <c r="A161" i="4"/>
  <c r="H160" i="4"/>
  <c r="G160" i="4"/>
  <c r="F344" i="5" s="1"/>
  <c r="F160" i="4"/>
  <c r="E160" i="4"/>
  <c r="D344" i="5" s="1"/>
  <c r="D160" i="4"/>
  <c r="C344" i="5" s="1"/>
  <c r="C160" i="4"/>
  <c r="B344" i="5" s="1"/>
  <c r="B160" i="4"/>
  <c r="A160" i="4"/>
  <c r="H159" i="4"/>
  <c r="G343" i="5" s="1"/>
  <c r="G159" i="4"/>
  <c r="F343" i="5" s="1"/>
  <c r="F159" i="4"/>
  <c r="E159" i="4"/>
  <c r="D159" i="4"/>
  <c r="C343" i="5" s="1"/>
  <c r="C159" i="4"/>
  <c r="B343" i="5" s="1"/>
  <c r="B159" i="4"/>
  <c r="A159" i="4"/>
  <c r="H158" i="4"/>
  <c r="G342" i="5" s="1"/>
  <c r="G158" i="4"/>
  <c r="F342" i="5" s="1"/>
  <c r="F158" i="4"/>
  <c r="E158" i="4"/>
  <c r="D158" i="4"/>
  <c r="C342" i="5" s="1"/>
  <c r="C158" i="4"/>
  <c r="B342" i="5" s="1"/>
  <c r="B158" i="4"/>
  <c r="A158" i="4"/>
  <c r="H157" i="4"/>
  <c r="G157" i="4"/>
  <c r="F341" i="5" s="1"/>
  <c r="F157" i="4"/>
  <c r="E157" i="4"/>
  <c r="D341" i="5" s="1"/>
  <c r="D157" i="4"/>
  <c r="C341" i="5" s="1"/>
  <c r="C157" i="4"/>
  <c r="B341" i="5" s="1"/>
  <c r="B157" i="4"/>
  <c r="A157" i="4"/>
  <c r="H156" i="4"/>
  <c r="G340" i="5" s="1"/>
  <c r="G156" i="4"/>
  <c r="F340" i="5" s="1"/>
  <c r="F156" i="4"/>
  <c r="E156" i="4"/>
  <c r="D156" i="4"/>
  <c r="C340" i="5" s="1"/>
  <c r="C156" i="4"/>
  <c r="B156" i="4"/>
  <c r="A156" i="4"/>
  <c r="H155" i="4"/>
  <c r="G339" i="5" s="1"/>
  <c r="G155" i="4"/>
  <c r="F339" i="5" s="1"/>
  <c r="F155" i="4"/>
  <c r="E155" i="4"/>
  <c r="D339" i="5" s="1"/>
  <c r="D155" i="4"/>
  <c r="C155" i="4"/>
  <c r="B339" i="5" s="1"/>
  <c r="B155" i="4"/>
  <c r="A155" i="4"/>
  <c r="A339" i="5" s="1"/>
  <c r="H154" i="4"/>
  <c r="G338" i="5" s="1"/>
  <c r="G154" i="4"/>
  <c r="F338" i="5" s="1"/>
  <c r="F154" i="4"/>
  <c r="E341" i="1" s="1"/>
  <c r="E154" i="4"/>
  <c r="D338" i="5" s="1"/>
  <c r="D154" i="4"/>
  <c r="C338" i="5" s="1"/>
  <c r="C154" i="4"/>
  <c r="B154" i="4"/>
  <c r="A154" i="4"/>
  <c r="H153" i="4"/>
  <c r="G337" i="5" s="1"/>
  <c r="G153" i="4"/>
  <c r="F337" i="5" s="1"/>
  <c r="F153" i="4"/>
  <c r="E153" i="4"/>
  <c r="D153" i="4"/>
  <c r="C337" i="5" s="1"/>
  <c r="C153" i="4"/>
  <c r="B337" i="5" s="1"/>
  <c r="B153" i="4"/>
  <c r="A153" i="4"/>
  <c r="H152" i="4"/>
  <c r="G152" i="4"/>
  <c r="F336" i="5" s="1"/>
  <c r="F152" i="4"/>
  <c r="E152" i="4"/>
  <c r="D336" i="5" s="1"/>
  <c r="D152" i="4"/>
  <c r="C336" i="5" s="1"/>
  <c r="C152" i="4"/>
  <c r="B336" i="5" s="1"/>
  <c r="B152" i="4"/>
  <c r="A152" i="4"/>
  <c r="H151" i="4"/>
  <c r="G335" i="5" s="1"/>
  <c r="G151" i="4"/>
  <c r="F335" i="5" s="1"/>
  <c r="F151" i="4"/>
  <c r="E151" i="4"/>
  <c r="D151" i="4"/>
  <c r="C335" i="5" s="1"/>
  <c r="C151" i="4"/>
  <c r="B335" i="5" s="1"/>
  <c r="B151" i="4"/>
  <c r="A151" i="4"/>
  <c r="H150" i="4"/>
  <c r="G334" i="5" s="1"/>
  <c r="G150" i="4"/>
  <c r="F334" i="5" s="1"/>
  <c r="F150" i="4"/>
  <c r="E150" i="4"/>
  <c r="D334" i="5" s="1"/>
  <c r="D150" i="4"/>
  <c r="C150" i="4"/>
  <c r="B334" i="5" s="1"/>
  <c r="B150" i="4"/>
  <c r="A150" i="4"/>
  <c r="H149" i="4"/>
  <c r="G149" i="4"/>
  <c r="F333" i="5" s="1"/>
  <c r="F149" i="4"/>
  <c r="E149" i="4"/>
  <c r="D333" i="5" s="1"/>
  <c r="D149" i="4"/>
  <c r="C333" i="5" s="1"/>
  <c r="C149" i="4"/>
  <c r="B333" i="5" s="1"/>
  <c r="B149" i="4"/>
  <c r="A149" i="4"/>
  <c r="H148" i="4"/>
  <c r="G332" i="5" s="1"/>
  <c r="G148" i="4"/>
  <c r="F332" i="5" s="1"/>
  <c r="F148" i="4"/>
  <c r="E148" i="4"/>
  <c r="D148" i="4"/>
  <c r="C332" i="5" s="1"/>
  <c r="C148" i="4"/>
  <c r="B332" i="5" s="1"/>
  <c r="B148" i="4"/>
  <c r="A148" i="4"/>
  <c r="H147" i="4"/>
  <c r="G331" i="5" s="1"/>
  <c r="G147" i="4"/>
  <c r="F331" i="5" s="1"/>
  <c r="F147" i="4"/>
  <c r="E147" i="4"/>
  <c r="D331" i="5" s="1"/>
  <c r="D147" i="4"/>
  <c r="C147" i="4"/>
  <c r="B147" i="4"/>
  <c r="A147" i="4"/>
  <c r="A331" i="5" s="1"/>
  <c r="H146" i="4"/>
  <c r="G330" i="5" s="1"/>
  <c r="G146" i="4"/>
  <c r="F330" i="5" s="1"/>
  <c r="F146" i="4"/>
  <c r="E146" i="4"/>
  <c r="D330" i="5" s="1"/>
  <c r="D146" i="4"/>
  <c r="C330" i="5" s="1"/>
  <c r="C146" i="4"/>
  <c r="B146" i="4"/>
  <c r="A146" i="4"/>
  <c r="A330" i="5" s="1"/>
  <c r="H145" i="4"/>
  <c r="G329" i="5" s="1"/>
  <c r="G145" i="4"/>
  <c r="F329" i="5" s="1"/>
  <c r="F145" i="4"/>
  <c r="E145" i="4"/>
  <c r="D329" i="5" s="1"/>
  <c r="D145" i="4"/>
  <c r="C329" i="5" s="1"/>
  <c r="C145" i="4"/>
  <c r="B329" i="5" s="1"/>
  <c r="B145" i="4"/>
  <c r="A145" i="4"/>
  <c r="H144" i="4"/>
  <c r="G328" i="5" s="1"/>
  <c r="G144" i="4"/>
  <c r="F328" i="5" s="1"/>
  <c r="F144" i="4"/>
  <c r="E144" i="4"/>
  <c r="D144" i="4"/>
  <c r="C328" i="5" s="1"/>
  <c r="C144" i="4"/>
  <c r="B328" i="5" s="1"/>
  <c r="B144" i="4"/>
  <c r="A144" i="4"/>
  <c r="H143" i="4"/>
  <c r="G327" i="5" s="1"/>
  <c r="G143" i="4"/>
  <c r="F143" i="4"/>
  <c r="E143" i="4"/>
  <c r="D327" i="5" s="1"/>
  <c r="D143" i="4"/>
  <c r="C327" i="5" s="1"/>
  <c r="C143" i="4"/>
  <c r="B327" i="5" s="1"/>
  <c r="B143" i="4"/>
  <c r="A143" i="4"/>
  <c r="H142" i="4"/>
  <c r="G142" i="4"/>
  <c r="F326" i="5" s="1"/>
  <c r="F142" i="4"/>
  <c r="E142" i="4"/>
  <c r="D326" i="5" s="1"/>
  <c r="D142" i="4"/>
  <c r="C326" i="5" s="1"/>
  <c r="C142" i="4"/>
  <c r="B142" i="4"/>
  <c r="A142" i="4"/>
  <c r="H141" i="4"/>
  <c r="G325" i="5" s="1"/>
  <c r="G141" i="4"/>
  <c r="F325" i="5" s="1"/>
  <c r="F141" i="4"/>
  <c r="E141" i="4"/>
  <c r="D325" i="5" s="1"/>
  <c r="D141" i="4"/>
  <c r="C325" i="5" s="1"/>
  <c r="C141" i="4"/>
  <c r="B141" i="4"/>
  <c r="A141" i="4"/>
  <c r="H140" i="4"/>
  <c r="G324" i="5" s="1"/>
  <c r="G140" i="4"/>
  <c r="F140" i="4"/>
  <c r="E140" i="4"/>
  <c r="D324" i="5" s="1"/>
  <c r="D140" i="4"/>
  <c r="C324" i="5" s="1"/>
  <c r="C140" i="4"/>
  <c r="B324" i="5" s="1"/>
  <c r="B140" i="4"/>
  <c r="A140" i="4"/>
  <c r="H139" i="4"/>
  <c r="G139" i="4"/>
  <c r="F323" i="5" s="1"/>
  <c r="F139" i="4"/>
  <c r="E139" i="4"/>
  <c r="D139" i="4"/>
  <c r="C323" i="5" s="1"/>
  <c r="C139" i="4"/>
  <c r="B323" i="5" s="1"/>
  <c r="B139" i="4"/>
  <c r="A139" i="4"/>
  <c r="H138" i="4"/>
  <c r="G322" i="5" s="1"/>
  <c r="G138" i="4"/>
  <c r="F322" i="5" s="1"/>
  <c r="F138" i="4"/>
  <c r="E138" i="4"/>
  <c r="D322" i="5" s="1"/>
  <c r="D138" i="4"/>
  <c r="C138" i="4"/>
  <c r="B138" i="4"/>
  <c r="A138" i="4"/>
  <c r="A322" i="5" s="1"/>
  <c r="H137" i="4"/>
  <c r="G321" i="5" s="1"/>
  <c r="G137" i="4"/>
  <c r="F321" i="5" s="1"/>
  <c r="F137" i="4"/>
  <c r="E137" i="4"/>
  <c r="D321" i="5" s="1"/>
  <c r="D137" i="4"/>
  <c r="C321" i="5" s="1"/>
  <c r="C137" i="4"/>
  <c r="B321" i="5" s="1"/>
  <c r="B137" i="4"/>
  <c r="A137" i="4"/>
  <c r="H136" i="4"/>
  <c r="G320" i="5" s="1"/>
  <c r="G136" i="4"/>
  <c r="F320" i="5" s="1"/>
  <c r="F136" i="4"/>
  <c r="E136" i="4"/>
  <c r="D136" i="4"/>
  <c r="C320" i="5" s="1"/>
  <c r="C136" i="4"/>
  <c r="B320" i="5" s="1"/>
  <c r="B136" i="4"/>
  <c r="A136" i="4"/>
  <c r="A320" i="5" s="1"/>
  <c r="H135" i="4"/>
  <c r="G319" i="5" s="1"/>
  <c r="G135" i="4"/>
  <c r="F135" i="4"/>
  <c r="E135" i="4"/>
  <c r="D319" i="5" s="1"/>
  <c r="D135" i="4"/>
  <c r="C319" i="5" s="1"/>
  <c r="C135" i="4"/>
  <c r="B319" i="5" s="1"/>
  <c r="B135" i="4"/>
  <c r="A135" i="4"/>
  <c r="H134" i="4"/>
  <c r="G318" i="5" s="1"/>
  <c r="G134" i="4"/>
  <c r="F134" i="4"/>
  <c r="E134" i="4"/>
  <c r="D318" i="5" s="1"/>
  <c r="D134" i="4"/>
  <c r="C318" i="5" s="1"/>
  <c r="C134" i="4"/>
  <c r="B134" i="4"/>
  <c r="A134" i="4"/>
  <c r="H133" i="4"/>
  <c r="G317" i="5" s="1"/>
  <c r="G133" i="4"/>
  <c r="F317" i="5" s="1"/>
  <c r="F133" i="4"/>
  <c r="E133" i="4"/>
  <c r="D317" i="5" s="1"/>
  <c r="D133" i="4"/>
  <c r="C133" i="4"/>
  <c r="B317" i="5" s="1"/>
  <c r="B133" i="4"/>
  <c r="A133" i="4"/>
  <c r="H132" i="4"/>
  <c r="G316" i="5" s="1"/>
  <c r="G132" i="4"/>
  <c r="F132" i="4"/>
  <c r="E132" i="4"/>
  <c r="D316" i="5" s="1"/>
  <c r="D132" i="4"/>
  <c r="C316" i="5" s="1"/>
  <c r="C132" i="4"/>
  <c r="B316" i="5" s="1"/>
  <c r="B132" i="4"/>
  <c r="A132" i="4"/>
  <c r="H131" i="4"/>
  <c r="G315" i="5" s="1"/>
  <c r="G131" i="4"/>
  <c r="F315" i="5" s="1"/>
  <c r="F131" i="4"/>
  <c r="E131" i="4"/>
  <c r="D315" i="5" s="1"/>
  <c r="D131" i="4"/>
  <c r="C131" i="4"/>
  <c r="B315" i="5" s="1"/>
  <c r="B131" i="4"/>
  <c r="A131" i="4"/>
  <c r="H130" i="4"/>
  <c r="G130" i="4"/>
  <c r="F314" i="5" s="1"/>
  <c r="F130" i="4"/>
  <c r="E130" i="4"/>
  <c r="D314" i="5" s="1"/>
  <c r="D130" i="4"/>
  <c r="C314" i="5" s="1"/>
  <c r="C130" i="4"/>
  <c r="B314" i="5" s="1"/>
  <c r="B130" i="4"/>
  <c r="A130" i="4"/>
  <c r="H129" i="4"/>
  <c r="G129" i="4"/>
  <c r="F313" i="5" s="1"/>
  <c r="F129" i="4"/>
  <c r="E129" i="4"/>
  <c r="D129" i="4"/>
  <c r="C313" i="5" s="1"/>
  <c r="C129" i="4"/>
  <c r="B313" i="5" s="1"/>
  <c r="B129" i="4"/>
  <c r="A129" i="4"/>
  <c r="A313" i="5" s="1"/>
  <c r="H128" i="4"/>
  <c r="G312" i="5" s="1"/>
  <c r="G128" i="4"/>
  <c r="F312" i="5" s="1"/>
  <c r="F128" i="4"/>
  <c r="E128" i="4"/>
  <c r="D312" i="5" s="1"/>
  <c r="D128" i="4"/>
  <c r="C128" i="4"/>
  <c r="B128" i="4"/>
  <c r="A128" i="4"/>
  <c r="A312" i="5" s="1"/>
  <c r="H127" i="4"/>
  <c r="G311" i="5" s="1"/>
  <c r="G127" i="4"/>
  <c r="F311" i="5" s="1"/>
  <c r="F127" i="4"/>
  <c r="E127" i="4"/>
  <c r="D311" i="5" s="1"/>
  <c r="D127" i="4"/>
  <c r="C311" i="5" s="1"/>
  <c r="C127" i="4"/>
  <c r="B311" i="5" s="1"/>
  <c r="B127" i="4"/>
  <c r="A127" i="4"/>
  <c r="A311" i="5" s="1"/>
  <c r="H126" i="4"/>
  <c r="G126" i="4"/>
  <c r="F126" i="4"/>
  <c r="E310" i="5" s="1"/>
  <c r="E126" i="4"/>
  <c r="D310" i="5" s="1"/>
  <c r="D126" i="4"/>
  <c r="C126" i="4"/>
  <c r="B310" i="5" s="1"/>
  <c r="B126" i="4"/>
  <c r="A126" i="4"/>
  <c r="H125" i="4"/>
  <c r="G309" i="5" s="1"/>
  <c r="G125" i="4"/>
  <c r="F309" i="5" s="1"/>
  <c r="F125" i="4"/>
  <c r="E125" i="4"/>
  <c r="D125" i="4"/>
  <c r="C309" i="5" s="1"/>
  <c r="C125" i="4"/>
  <c r="B125" i="4"/>
  <c r="A125" i="4"/>
  <c r="H124" i="4"/>
  <c r="G308" i="5" s="1"/>
  <c r="G124" i="4"/>
  <c r="F308" i="5" s="1"/>
  <c r="F124" i="4"/>
  <c r="E124" i="4"/>
  <c r="D308" i="5" s="1"/>
  <c r="D124" i="4"/>
  <c r="C308" i="5" s="1"/>
  <c r="C124" i="4"/>
  <c r="B124" i="4"/>
  <c r="A124" i="4"/>
  <c r="H123" i="4"/>
  <c r="G123" i="4"/>
  <c r="F307" i="5" s="1"/>
  <c r="F123" i="4"/>
  <c r="E307" i="5" s="1"/>
  <c r="E123" i="4"/>
  <c r="D307" i="5" s="1"/>
  <c r="D123" i="4"/>
  <c r="C307" i="5" s="1"/>
  <c r="C123" i="4"/>
  <c r="B123" i="4"/>
  <c r="A123" i="4"/>
  <c r="H122" i="4"/>
  <c r="G306" i="5" s="1"/>
  <c r="G122" i="4"/>
  <c r="F306" i="5" s="1"/>
  <c r="F122" i="4"/>
  <c r="E309" i="1" s="1"/>
  <c r="E122" i="4"/>
  <c r="D122" i="4"/>
  <c r="C306" i="5" s="1"/>
  <c r="C122" i="4"/>
  <c r="B306" i="5" s="1"/>
  <c r="B122" i="4"/>
  <c r="A122" i="4"/>
  <c r="H121" i="4"/>
  <c r="G121" i="4"/>
  <c r="F305" i="5" s="1"/>
  <c r="F121" i="4"/>
  <c r="E121" i="4"/>
  <c r="D121" i="4"/>
  <c r="C305" i="5" s="1"/>
  <c r="C121" i="4"/>
  <c r="B305" i="5" s="1"/>
  <c r="B121" i="4"/>
  <c r="A121" i="4"/>
  <c r="H120" i="4"/>
  <c r="G304" i="5" s="1"/>
  <c r="G120" i="4"/>
  <c r="F304" i="5" s="1"/>
  <c r="F120" i="4"/>
  <c r="E120" i="4"/>
  <c r="D120" i="4"/>
  <c r="C304" i="5" s="1"/>
  <c r="C120" i="4"/>
  <c r="B304" i="5" s="1"/>
  <c r="B120" i="4"/>
  <c r="A120" i="4"/>
  <c r="H119" i="4"/>
  <c r="G119" i="4"/>
  <c r="F303" i="5" s="1"/>
  <c r="F119" i="4"/>
  <c r="E119" i="4"/>
  <c r="D119" i="4"/>
  <c r="C303" i="5" s="1"/>
  <c r="C119" i="4"/>
  <c r="B119" i="4"/>
  <c r="A119" i="4"/>
  <c r="H118" i="4"/>
  <c r="G302" i="5" s="1"/>
  <c r="G118" i="4"/>
  <c r="F302" i="5" s="1"/>
  <c r="F118" i="4"/>
  <c r="E118" i="4"/>
  <c r="D302" i="5" s="1"/>
  <c r="D118" i="4"/>
  <c r="C302" i="5" s="1"/>
  <c r="C118" i="4"/>
  <c r="B302" i="5" s="1"/>
  <c r="B118" i="4"/>
  <c r="A118" i="4"/>
  <c r="H117" i="4"/>
  <c r="G117" i="4"/>
  <c r="F117" i="4"/>
  <c r="E117" i="4"/>
  <c r="D301" i="5" s="1"/>
  <c r="D117" i="4"/>
  <c r="C301" i="5" s="1"/>
  <c r="C117" i="4"/>
  <c r="B301" i="5" s="1"/>
  <c r="B117" i="4"/>
  <c r="A117" i="4"/>
  <c r="H116" i="4"/>
  <c r="G300" i="5" s="1"/>
  <c r="G116" i="4"/>
  <c r="F300" i="5" s="1"/>
  <c r="F116" i="4"/>
  <c r="E116" i="4"/>
  <c r="D300" i="5" s="1"/>
  <c r="D116" i="4"/>
  <c r="C116" i="4"/>
  <c r="B116" i="4"/>
  <c r="A116" i="4"/>
  <c r="H115" i="4"/>
  <c r="G299" i="5" s="1"/>
  <c r="G115" i="4"/>
  <c r="F299" i="5" s="1"/>
  <c r="F115" i="4"/>
  <c r="E115" i="4"/>
  <c r="D299" i="5" s="1"/>
  <c r="D115" i="4"/>
  <c r="C299" i="5" s="1"/>
  <c r="C115" i="4"/>
  <c r="B115" i="4"/>
  <c r="A115" i="4"/>
  <c r="H114" i="4"/>
  <c r="G114" i="4"/>
  <c r="F298" i="5" s="1"/>
  <c r="F114" i="4"/>
  <c r="E114" i="4"/>
  <c r="D114" i="4"/>
  <c r="C298" i="5" s="1"/>
  <c r="C114" i="4"/>
  <c r="B298" i="5" s="1"/>
  <c r="B114" i="4"/>
  <c r="A114" i="4"/>
  <c r="A298" i="5" s="1"/>
  <c r="H113" i="4"/>
  <c r="G297" i="5" s="1"/>
  <c r="G113" i="4"/>
  <c r="F297" i="5" s="1"/>
  <c r="F113" i="4"/>
  <c r="E113" i="4"/>
  <c r="D113" i="4"/>
  <c r="C297" i="5" s="1"/>
  <c r="C113" i="4"/>
  <c r="B297" i="5" s="1"/>
  <c r="B113" i="4"/>
  <c r="A113" i="4"/>
  <c r="H112" i="4"/>
  <c r="G296" i="5" s="1"/>
  <c r="G112" i="4"/>
  <c r="F112" i="4"/>
  <c r="E112" i="4"/>
  <c r="D296" i="5" s="1"/>
  <c r="D112" i="4"/>
  <c r="C296" i="5" s="1"/>
  <c r="C112" i="4"/>
  <c r="B112" i="4"/>
  <c r="A112" i="4"/>
  <c r="H111" i="4"/>
  <c r="G295" i="5" s="1"/>
  <c r="G111" i="4"/>
  <c r="F295" i="5" s="1"/>
  <c r="F111" i="4"/>
  <c r="E111" i="4"/>
  <c r="D295" i="5" s="1"/>
  <c r="D111" i="4"/>
  <c r="C111" i="4"/>
  <c r="B111" i="4"/>
  <c r="A111" i="4"/>
  <c r="H110" i="4"/>
  <c r="G294" i="5" s="1"/>
  <c r="G110" i="4"/>
  <c r="F294" i="5" s="1"/>
  <c r="F110" i="4"/>
  <c r="E110" i="4"/>
  <c r="D294" i="5" s="1"/>
  <c r="D110" i="4"/>
  <c r="C110" i="4"/>
  <c r="B294" i="5" s="1"/>
  <c r="B110" i="4"/>
  <c r="A110" i="4"/>
  <c r="H109" i="4"/>
  <c r="G293" i="5" s="1"/>
  <c r="G109" i="4"/>
  <c r="F109" i="4"/>
  <c r="E109" i="4"/>
  <c r="D293" i="5" s="1"/>
  <c r="D109" i="4"/>
  <c r="C293" i="5" s="1"/>
  <c r="C109" i="4"/>
  <c r="B109" i="4"/>
  <c r="A109" i="4"/>
  <c r="H108" i="4"/>
  <c r="G292" i="5" s="1"/>
  <c r="G108" i="4"/>
  <c r="F108" i="4"/>
  <c r="E108" i="4"/>
  <c r="D292" i="5" s="1"/>
  <c r="D108" i="4"/>
  <c r="C108" i="4"/>
  <c r="B292" i="5" s="1"/>
  <c r="B108" i="4"/>
  <c r="A108" i="4"/>
  <c r="H107" i="4"/>
  <c r="G291" i="5" s="1"/>
  <c r="G107" i="4"/>
  <c r="F107" i="4"/>
  <c r="E107" i="4"/>
  <c r="D291" i="5" s="1"/>
  <c r="D107" i="4"/>
  <c r="C107" i="4"/>
  <c r="B291" i="5" s="1"/>
  <c r="B107" i="4"/>
  <c r="A107" i="4"/>
  <c r="H106" i="4"/>
  <c r="G290" i="5" s="1"/>
  <c r="G106" i="4"/>
  <c r="F290" i="5" s="1"/>
  <c r="F106" i="4"/>
  <c r="E106" i="4"/>
  <c r="D290" i="5" s="1"/>
  <c r="D106" i="4"/>
  <c r="C290" i="5" s="1"/>
  <c r="C106" i="4"/>
  <c r="B106" i="4"/>
  <c r="A106" i="4"/>
  <c r="H105" i="4"/>
  <c r="G289" i="5" s="1"/>
  <c r="G105" i="4"/>
  <c r="F289" i="5" s="1"/>
  <c r="F105" i="4"/>
  <c r="E105" i="4"/>
  <c r="D289" i="5" s="1"/>
  <c r="D105" i="4"/>
  <c r="C289" i="5" s="1"/>
  <c r="C105" i="4"/>
  <c r="B289" i="5" s="1"/>
  <c r="B105" i="4"/>
  <c r="A105" i="4"/>
  <c r="A289" i="5" s="1"/>
  <c r="H104" i="4"/>
  <c r="G288" i="5" s="1"/>
  <c r="G104" i="4"/>
  <c r="F104" i="4"/>
  <c r="E104" i="4"/>
  <c r="D104" i="4"/>
  <c r="C288" i="5" s="1"/>
  <c r="C104" i="4"/>
  <c r="B288" i="5" s="1"/>
  <c r="B104" i="4"/>
  <c r="A104" i="4"/>
  <c r="A288" i="5" s="1"/>
  <c r="H103" i="4"/>
  <c r="G287" i="5" s="1"/>
  <c r="G103" i="4"/>
  <c r="F287" i="5" s="1"/>
  <c r="F103" i="4"/>
  <c r="E103" i="4"/>
  <c r="D287" i="5" s="1"/>
  <c r="D103" i="4"/>
  <c r="C103" i="4"/>
  <c r="B287" i="5" s="1"/>
  <c r="B103" i="4"/>
  <c r="A103" i="4"/>
  <c r="A287" i="5" s="1"/>
  <c r="H102" i="4"/>
  <c r="G102" i="4"/>
  <c r="F286" i="5" s="1"/>
  <c r="F102" i="4"/>
  <c r="E102" i="4"/>
  <c r="D102" i="4"/>
  <c r="C286" i="5" s="1"/>
  <c r="C102" i="4"/>
  <c r="B286" i="5" s="1"/>
  <c r="B102" i="4"/>
  <c r="A102" i="4"/>
  <c r="H101" i="4"/>
  <c r="G285" i="5" s="1"/>
  <c r="G101" i="4"/>
  <c r="F101" i="4"/>
  <c r="E101" i="4"/>
  <c r="D285" i="5" s="1"/>
  <c r="D101" i="4"/>
  <c r="C285" i="5" s="1"/>
  <c r="C101" i="4"/>
  <c r="B101" i="4"/>
  <c r="A101" i="4"/>
  <c r="H100" i="4"/>
  <c r="G284" i="5" s="1"/>
  <c r="G100" i="4"/>
  <c r="F284" i="5" s="1"/>
  <c r="F100" i="4"/>
  <c r="E100" i="4"/>
  <c r="D284" i="5" s="1"/>
  <c r="D100" i="4"/>
  <c r="C100" i="4"/>
  <c r="B284" i="5" s="1"/>
  <c r="B100" i="4"/>
  <c r="A100" i="4"/>
  <c r="H99" i="4"/>
  <c r="G99" i="4"/>
  <c r="F283" i="5" s="1"/>
  <c r="F99" i="4"/>
  <c r="E99" i="4"/>
  <c r="D283" i="5" s="1"/>
  <c r="D99" i="4"/>
  <c r="C283" i="5" s="1"/>
  <c r="C99" i="4"/>
  <c r="B99" i="4"/>
  <c r="A99" i="4"/>
  <c r="H98" i="4"/>
  <c r="G282" i="5" s="1"/>
  <c r="G98" i="4"/>
  <c r="F282" i="5" s="1"/>
  <c r="F98" i="4"/>
  <c r="E98" i="4"/>
  <c r="D282" i="5" s="1"/>
  <c r="D98" i="4"/>
  <c r="C98" i="4"/>
  <c r="B282" i="5" s="1"/>
  <c r="B98" i="4"/>
  <c r="A98" i="4"/>
  <c r="H97" i="4"/>
  <c r="G97" i="4"/>
  <c r="F281" i="5" s="1"/>
  <c r="F97" i="4"/>
  <c r="E97" i="4"/>
  <c r="D281" i="5" s="1"/>
  <c r="D97" i="4"/>
  <c r="C281" i="5" s="1"/>
  <c r="C97" i="4"/>
  <c r="B281" i="5" s="1"/>
  <c r="B97" i="4"/>
  <c r="A97" i="4"/>
  <c r="H96" i="4"/>
  <c r="G96" i="4"/>
  <c r="F280" i="5" s="1"/>
  <c r="F96" i="4"/>
  <c r="E280" i="5" s="1"/>
  <c r="E96" i="4"/>
  <c r="D96" i="4"/>
  <c r="C280" i="5" s="1"/>
  <c r="C96" i="4"/>
  <c r="B280" i="5" s="1"/>
  <c r="B96" i="4"/>
  <c r="A96" i="4"/>
  <c r="H95" i="4"/>
  <c r="G279" i="5" s="1"/>
  <c r="G95" i="4"/>
  <c r="F279" i="5" s="1"/>
  <c r="F95" i="4"/>
  <c r="E95" i="4"/>
  <c r="D95" i="4"/>
  <c r="C95" i="4"/>
  <c r="B279" i="5" s="1"/>
  <c r="B95" i="4"/>
  <c r="A95" i="4"/>
  <c r="H94" i="4"/>
  <c r="G278" i="5" s="1"/>
  <c r="G94" i="4"/>
  <c r="F278" i="5" s="1"/>
  <c r="F94" i="4"/>
  <c r="E94" i="4"/>
  <c r="D278" i="5" s="1"/>
  <c r="D94" i="4"/>
  <c r="C278" i="5" s="1"/>
  <c r="C94" i="4"/>
  <c r="B278" i="5" s="1"/>
  <c r="B94" i="4"/>
  <c r="A94" i="4"/>
  <c r="H93" i="4"/>
  <c r="G93" i="4"/>
  <c r="F93" i="4"/>
  <c r="E93" i="4"/>
  <c r="D93" i="4"/>
  <c r="C277" i="5" s="1"/>
  <c r="C93" i="4"/>
  <c r="B277" i="5" s="1"/>
  <c r="B93" i="4"/>
  <c r="A93" i="4"/>
  <c r="H92" i="4"/>
  <c r="G276" i="5" s="1"/>
  <c r="G92" i="4"/>
  <c r="F276" i="5" s="1"/>
  <c r="F92" i="4"/>
  <c r="E92" i="4"/>
  <c r="D276" i="5" s="1"/>
  <c r="D92" i="4"/>
  <c r="C92" i="4"/>
  <c r="B276" i="5" s="1"/>
  <c r="B92" i="4"/>
  <c r="A92" i="4"/>
  <c r="H91" i="4"/>
  <c r="G275" i="5" s="1"/>
  <c r="G91" i="4"/>
  <c r="F275" i="5" s="1"/>
  <c r="F91" i="4"/>
  <c r="E91" i="4"/>
  <c r="D275" i="5" s="1"/>
  <c r="D91" i="4"/>
  <c r="C275" i="5" s="1"/>
  <c r="C91" i="4"/>
  <c r="B91" i="4"/>
  <c r="A91" i="4"/>
  <c r="A275" i="5" s="1"/>
  <c r="H90" i="4"/>
  <c r="G90" i="4"/>
  <c r="F274" i="5" s="1"/>
  <c r="F90" i="4"/>
  <c r="E277" i="1" s="1"/>
  <c r="E90" i="4"/>
  <c r="D90" i="4"/>
  <c r="C274" i="5" s="1"/>
  <c r="C90" i="4"/>
  <c r="B274" i="5" s="1"/>
  <c r="B90" i="4"/>
  <c r="A90" i="4"/>
  <c r="H89" i="4"/>
  <c r="G273" i="5" s="1"/>
  <c r="G89" i="4"/>
  <c r="F273" i="5" s="1"/>
  <c r="F89" i="4"/>
  <c r="E89" i="4"/>
  <c r="D273" i="5" s="1"/>
  <c r="D89" i="4"/>
  <c r="C89" i="4"/>
  <c r="B273" i="5" s="1"/>
  <c r="B89" i="4"/>
  <c r="A89" i="4"/>
  <c r="H88" i="4"/>
  <c r="G88" i="4"/>
  <c r="F88" i="4"/>
  <c r="E88" i="4"/>
  <c r="D272" i="5" s="1"/>
  <c r="D88" i="4"/>
  <c r="C272" i="5" s="1"/>
  <c r="C88" i="4"/>
  <c r="B272" i="5" s="1"/>
  <c r="B88" i="4"/>
  <c r="A88" i="4"/>
  <c r="H87" i="4"/>
  <c r="G87" i="4"/>
  <c r="F271" i="5" s="1"/>
  <c r="F87" i="4"/>
  <c r="E87" i="4"/>
  <c r="D271" i="5" s="1"/>
  <c r="D87" i="4"/>
  <c r="C87" i="4"/>
  <c r="B271" i="5" s="1"/>
  <c r="B87" i="4"/>
  <c r="A87" i="4"/>
  <c r="H86" i="4"/>
  <c r="G86" i="4"/>
  <c r="F270" i="5" s="1"/>
  <c r="F86" i="4"/>
  <c r="E270" i="5" s="1"/>
  <c r="E86" i="4"/>
  <c r="D270" i="5" s="1"/>
  <c r="D86" i="4"/>
  <c r="C270" i="5" s="1"/>
  <c r="C86" i="4"/>
  <c r="B86" i="4"/>
  <c r="A86" i="4"/>
  <c r="H85" i="4"/>
  <c r="G269" i="5" s="1"/>
  <c r="G85" i="4"/>
  <c r="F85" i="4"/>
  <c r="E85" i="4"/>
  <c r="D269" i="5" s="1"/>
  <c r="D85" i="4"/>
  <c r="C269" i="5" s="1"/>
  <c r="C85" i="4"/>
  <c r="B269" i="5" s="1"/>
  <c r="B85" i="4"/>
  <c r="A85" i="4"/>
  <c r="H84" i="4"/>
  <c r="G268" i="5" s="1"/>
  <c r="G84" i="4"/>
  <c r="F268" i="5" s="1"/>
  <c r="F84" i="4"/>
  <c r="E84" i="4"/>
  <c r="D84" i="4"/>
  <c r="C84" i="4"/>
  <c r="B268" i="5" s="1"/>
  <c r="B84" i="4"/>
  <c r="A84" i="4"/>
  <c r="H83" i="4"/>
  <c r="G267" i="5" s="1"/>
  <c r="G83" i="4"/>
  <c r="F267" i="5" s="1"/>
  <c r="F83" i="4"/>
  <c r="E83" i="4"/>
  <c r="D83" i="4"/>
  <c r="C267" i="5" s="1"/>
  <c r="C83" i="4"/>
  <c r="B83" i="4"/>
  <c r="A83" i="4"/>
  <c r="A267" i="5" s="1"/>
  <c r="H82" i="4"/>
  <c r="G266" i="5" s="1"/>
  <c r="G82" i="4"/>
  <c r="F266" i="5" s="1"/>
  <c r="F82" i="4"/>
  <c r="E82" i="4"/>
  <c r="D266" i="5" s="1"/>
  <c r="D82" i="4"/>
  <c r="C266" i="5" s="1"/>
  <c r="C82" i="4"/>
  <c r="B266" i="5" s="1"/>
  <c r="B82" i="4"/>
  <c r="A82" i="4"/>
  <c r="A266" i="5" s="1"/>
  <c r="H81" i="4"/>
  <c r="G81" i="4"/>
  <c r="F81" i="4"/>
  <c r="E81" i="4"/>
  <c r="D265" i="5" s="1"/>
  <c r="D81" i="4"/>
  <c r="C265" i="5" s="1"/>
  <c r="C81" i="4"/>
  <c r="B265" i="5" s="1"/>
  <c r="B81" i="4"/>
  <c r="A81" i="4"/>
  <c r="A265" i="5" s="1"/>
  <c r="H80" i="4"/>
  <c r="G264" i="5" s="1"/>
  <c r="G80" i="4"/>
  <c r="F80" i="4"/>
  <c r="E80" i="4"/>
  <c r="D264" i="5" s="1"/>
  <c r="D80" i="4"/>
  <c r="C264" i="5" s="1"/>
  <c r="C80" i="4"/>
  <c r="B80" i="4"/>
  <c r="A80" i="4"/>
  <c r="A264" i="5" s="1"/>
  <c r="H79" i="4"/>
  <c r="G263" i="5" s="1"/>
  <c r="G79" i="4"/>
  <c r="F263" i="5" s="1"/>
  <c r="F79" i="4"/>
  <c r="E79" i="4"/>
  <c r="D79" i="4"/>
  <c r="C263" i="5" s="1"/>
  <c r="C79" i="4"/>
  <c r="B263" i="5" s="1"/>
  <c r="B79" i="4"/>
  <c r="A79" i="4"/>
  <c r="A263" i="5" s="1"/>
  <c r="H78" i="4"/>
  <c r="G262" i="5" s="1"/>
  <c r="G78" i="4"/>
  <c r="F78" i="4"/>
  <c r="E78" i="4"/>
  <c r="D262" i="5" s="1"/>
  <c r="D78" i="4"/>
  <c r="C256" i="3" s="1"/>
  <c r="C78" i="4"/>
  <c r="B262" i="5" s="1"/>
  <c r="B78" i="4"/>
  <c r="A78" i="4"/>
  <c r="H77" i="4"/>
  <c r="G261" i="5" s="1"/>
  <c r="G77" i="4"/>
  <c r="F261" i="5" s="1"/>
  <c r="F77" i="4"/>
  <c r="E261" i="5" s="1"/>
  <c r="E77" i="4"/>
  <c r="D261" i="5" s="1"/>
  <c r="D77" i="4"/>
  <c r="C261" i="5" s="1"/>
  <c r="C77" i="4"/>
  <c r="B77" i="4"/>
  <c r="A77" i="4"/>
  <c r="H76" i="4"/>
  <c r="G260" i="5" s="1"/>
  <c r="G76" i="4"/>
  <c r="F260" i="5" s="1"/>
  <c r="F76" i="4"/>
  <c r="E76" i="4"/>
  <c r="D76" i="4"/>
  <c r="C76" i="4"/>
  <c r="B260" i="5" s="1"/>
  <c r="B76" i="4"/>
  <c r="A76" i="4"/>
  <c r="H75" i="4"/>
  <c r="G259" i="5" s="1"/>
  <c r="G75" i="4"/>
  <c r="F259" i="5" s="1"/>
  <c r="F75" i="4"/>
  <c r="E259" i="5" s="1"/>
  <c r="E75" i="4"/>
  <c r="D75" i="4"/>
  <c r="C259" i="5" s="1"/>
  <c r="C75" i="4"/>
  <c r="B75" i="4"/>
  <c r="A75" i="4"/>
  <c r="H74" i="4"/>
  <c r="G74" i="4"/>
  <c r="F258" i="5" s="1"/>
  <c r="F74" i="4"/>
  <c r="E74" i="4"/>
  <c r="D258" i="5" s="1"/>
  <c r="D74" i="4"/>
  <c r="C258" i="5" s="1"/>
  <c r="C74" i="4"/>
  <c r="B74" i="4"/>
  <c r="A74" i="4"/>
  <c r="H73" i="4"/>
  <c r="G257" i="5" s="1"/>
  <c r="G73" i="4"/>
  <c r="F257" i="5" s="1"/>
  <c r="F73" i="4"/>
  <c r="E73" i="4"/>
  <c r="D257" i="5" s="1"/>
  <c r="D73" i="4"/>
  <c r="C257" i="5" s="1"/>
  <c r="C73" i="4"/>
  <c r="B73" i="4"/>
  <c r="A73" i="4"/>
  <c r="H72" i="4"/>
  <c r="G72" i="4"/>
  <c r="F72" i="4"/>
  <c r="E72" i="4"/>
  <c r="D256" i="5" s="1"/>
  <c r="D72" i="4"/>
  <c r="C256" i="5" s="1"/>
  <c r="C72" i="4"/>
  <c r="B256" i="5" s="1"/>
  <c r="B72" i="4"/>
  <c r="A72" i="4"/>
  <c r="H71" i="4"/>
  <c r="G255" i="5" s="1"/>
  <c r="G71" i="4"/>
  <c r="F71" i="4"/>
  <c r="E71" i="4"/>
  <c r="D71" i="4"/>
  <c r="C255" i="5" s="1"/>
  <c r="C71" i="4"/>
  <c r="B71" i="4"/>
  <c r="A71" i="4"/>
  <c r="H70" i="4"/>
  <c r="G254" i="5" s="1"/>
  <c r="G70" i="4"/>
  <c r="F254" i="5" s="1"/>
  <c r="F70" i="4"/>
  <c r="E254" i="5" s="1"/>
  <c r="E70" i="4"/>
  <c r="D254" i="5" s="1"/>
  <c r="D70" i="4"/>
  <c r="C254" i="5" s="1"/>
  <c r="C70" i="4"/>
  <c r="B70" i="4"/>
  <c r="A70" i="4"/>
  <c r="H69" i="4"/>
  <c r="G69" i="4"/>
  <c r="F253" i="5" s="1"/>
  <c r="F69" i="4"/>
  <c r="E253" i="5" s="1"/>
  <c r="E69" i="4"/>
  <c r="D253" i="5" s="1"/>
  <c r="D69" i="4"/>
  <c r="C253" i="5" s="1"/>
  <c r="C69" i="4"/>
  <c r="B253" i="5" s="1"/>
  <c r="B69" i="4"/>
  <c r="A69" i="4"/>
  <c r="H68" i="4"/>
  <c r="G252" i="5" s="1"/>
  <c r="G68" i="4"/>
  <c r="F252" i="5" s="1"/>
  <c r="F68" i="4"/>
  <c r="E68" i="4"/>
  <c r="D252" i="5" s="1"/>
  <c r="D68" i="4"/>
  <c r="C68" i="4"/>
  <c r="B68" i="4"/>
  <c r="A68" i="4"/>
  <c r="A252" i="5" s="1"/>
  <c r="H67" i="4"/>
  <c r="G251" i="5" s="1"/>
  <c r="G67" i="4"/>
  <c r="F251" i="5" s="1"/>
  <c r="F67" i="4"/>
  <c r="E67" i="4"/>
  <c r="D67" i="4"/>
  <c r="C251" i="5" s="1"/>
  <c r="C67" i="4"/>
  <c r="B251" i="5" s="1"/>
  <c r="B67" i="4"/>
  <c r="A67" i="4"/>
  <c r="A251" i="5" s="1"/>
  <c r="H66" i="4"/>
  <c r="G250" i="5" s="1"/>
  <c r="G66" i="4"/>
  <c r="F250" i="5" s="1"/>
  <c r="F66" i="4"/>
  <c r="E66" i="4"/>
  <c r="D66" i="4"/>
  <c r="C250" i="5" s="1"/>
  <c r="C66" i="4"/>
  <c r="B66" i="4"/>
  <c r="A66" i="4"/>
  <c r="A250" i="5" s="1"/>
  <c r="H65" i="4"/>
  <c r="G249" i="5" s="1"/>
  <c r="G65" i="4"/>
  <c r="F249" i="5" s="1"/>
  <c r="F65" i="4"/>
  <c r="E65" i="4"/>
  <c r="D249" i="5" s="1"/>
  <c r="D65" i="4"/>
  <c r="C249" i="5" s="1"/>
  <c r="C65" i="4"/>
  <c r="B249" i="5" s="1"/>
  <c r="B65" i="4"/>
  <c r="A65" i="4"/>
  <c r="H64" i="4"/>
  <c r="G248" i="5" s="1"/>
  <c r="G64" i="4"/>
  <c r="F248" i="5" s="1"/>
  <c r="F64" i="4"/>
  <c r="E64" i="4"/>
  <c r="D64" i="4"/>
  <c r="C248" i="5" s="1"/>
  <c r="C64" i="4"/>
  <c r="B248" i="5" s="1"/>
  <c r="B64" i="4"/>
  <c r="A64" i="4"/>
  <c r="H63" i="4"/>
  <c r="G247" i="5" s="1"/>
  <c r="G63" i="4"/>
  <c r="F63" i="4"/>
  <c r="E63" i="4"/>
  <c r="D247" i="5" s="1"/>
  <c r="D63" i="4"/>
  <c r="C247" i="5" s="1"/>
  <c r="C63" i="4"/>
  <c r="B247" i="5" s="1"/>
  <c r="B63" i="4"/>
  <c r="A63" i="4"/>
  <c r="H62" i="4"/>
  <c r="G246" i="5" s="1"/>
  <c r="G62" i="4"/>
  <c r="F246" i="5" s="1"/>
  <c r="F62" i="4"/>
  <c r="E62" i="4"/>
  <c r="D246" i="5" s="1"/>
  <c r="D62" i="4"/>
  <c r="C62" i="4"/>
  <c r="B246" i="5" s="1"/>
  <c r="B62" i="4"/>
  <c r="A62" i="4"/>
  <c r="H61" i="4"/>
  <c r="G245" i="5" s="1"/>
  <c r="G61" i="4"/>
  <c r="F61" i="4"/>
  <c r="E248" i="1" s="1"/>
  <c r="E61" i="4"/>
  <c r="D245" i="5" s="1"/>
  <c r="D61" i="4"/>
  <c r="C245" i="5" s="1"/>
  <c r="C61" i="4"/>
  <c r="B61" i="4"/>
  <c r="A61" i="4"/>
  <c r="H60" i="4"/>
  <c r="G244" i="5" s="1"/>
  <c r="G60" i="4"/>
  <c r="F244" i="5" s="1"/>
  <c r="F60" i="4"/>
  <c r="E60" i="4"/>
  <c r="D244" i="5" s="1"/>
  <c r="D60" i="4"/>
  <c r="C244" i="5" s="1"/>
  <c r="C60" i="4"/>
  <c r="B60" i="4"/>
  <c r="A60" i="4"/>
  <c r="H59" i="4"/>
  <c r="G243" i="5" s="1"/>
  <c r="G59" i="4"/>
  <c r="F59" i="4"/>
  <c r="E59" i="4"/>
  <c r="D243" i="5" s="1"/>
  <c r="D59" i="4"/>
  <c r="C243" i="5" s="1"/>
  <c r="C59" i="4"/>
  <c r="B243" i="5" s="1"/>
  <c r="B59" i="4"/>
  <c r="A59" i="4"/>
  <c r="H58" i="4"/>
  <c r="G242" i="5" s="1"/>
  <c r="G58" i="4"/>
  <c r="F242" i="5" s="1"/>
  <c r="F58" i="4"/>
  <c r="E58" i="4"/>
  <c r="D58" i="4"/>
  <c r="C58" i="4"/>
  <c r="B242" i="5" s="1"/>
  <c r="B58" i="4"/>
  <c r="A58" i="4"/>
  <c r="H57" i="4"/>
  <c r="G241" i="5" s="1"/>
  <c r="G57" i="4"/>
  <c r="F241" i="5" s="1"/>
  <c r="F57" i="4"/>
  <c r="E241" i="5" s="1"/>
  <c r="E57" i="4"/>
  <c r="D241" i="5" s="1"/>
  <c r="D57" i="4"/>
  <c r="C241" i="5" s="1"/>
  <c r="C57" i="4"/>
  <c r="B241" i="5" s="1"/>
  <c r="B57" i="4"/>
  <c r="A57" i="4"/>
  <c r="H56" i="4"/>
  <c r="G240" i="5" s="1"/>
  <c r="G56" i="4"/>
  <c r="F240" i="5" s="1"/>
  <c r="F56" i="4"/>
  <c r="E56" i="4"/>
  <c r="D240" i="5" s="1"/>
  <c r="D56" i="4"/>
  <c r="C240" i="5" s="1"/>
  <c r="C56" i="4"/>
  <c r="B240" i="5" s="1"/>
  <c r="B56" i="4"/>
  <c r="A56" i="4"/>
  <c r="H55" i="4"/>
  <c r="G239" i="5" s="1"/>
  <c r="G55" i="4"/>
  <c r="F55" i="4"/>
  <c r="E55" i="4"/>
  <c r="D239" i="5" s="1"/>
  <c r="D55" i="4"/>
  <c r="C55" i="4"/>
  <c r="B239" i="5" s="1"/>
  <c r="B55" i="4"/>
  <c r="A55" i="4"/>
  <c r="H54" i="4"/>
  <c r="G238" i="5" s="1"/>
  <c r="G54" i="4"/>
  <c r="F238" i="5" s="1"/>
  <c r="F54" i="4"/>
  <c r="E54" i="4"/>
  <c r="D238" i="5" s="1"/>
  <c r="D54" i="4"/>
  <c r="C54" i="4"/>
  <c r="B238" i="5" s="1"/>
  <c r="B54" i="4"/>
  <c r="A54" i="4"/>
  <c r="H53" i="4"/>
  <c r="G53" i="4"/>
  <c r="F237" i="5" s="1"/>
  <c r="F53" i="4"/>
  <c r="E240" i="1" s="1"/>
  <c r="E53" i="4"/>
  <c r="D237" i="5" s="1"/>
  <c r="D53" i="4"/>
  <c r="C237" i="5" s="1"/>
  <c r="C53" i="4"/>
  <c r="B237" i="5" s="1"/>
  <c r="B53" i="4"/>
  <c r="A53" i="4"/>
  <c r="H52" i="4"/>
  <c r="G236" i="5" s="1"/>
  <c r="G52" i="4"/>
  <c r="F236" i="5" s="1"/>
  <c r="F52" i="4"/>
  <c r="E52" i="4"/>
  <c r="D236" i="5" s="1"/>
  <c r="D52" i="4"/>
  <c r="C52" i="4"/>
  <c r="B236" i="5" s="1"/>
  <c r="B52" i="4"/>
  <c r="A52" i="4"/>
  <c r="A236" i="5" s="1"/>
  <c r="H51" i="4"/>
  <c r="G235" i="5" s="1"/>
  <c r="G51" i="4"/>
  <c r="F235" i="5" s="1"/>
  <c r="F51" i="4"/>
  <c r="E51" i="4"/>
  <c r="D235" i="5" s="1"/>
  <c r="D51" i="4"/>
  <c r="C235" i="5" s="1"/>
  <c r="C51" i="4"/>
  <c r="B51" i="4"/>
  <c r="A51" i="4"/>
  <c r="A235" i="5" s="1"/>
  <c r="H50" i="4"/>
  <c r="G234" i="5" s="1"/>
  <c r="G50" i="4"/>
  <c r="F234" i="5" s="1"/>
  <c r="F50" i="4"/>
  <c r="E50" i="4"/>
  <c r="D234" i="5" s="1"/>
  <c r="D50" i="4"/>
  <c r="C234" i="5" s="1"/>
  <c r="C50" i="4"/>
  <c r="B234" i="5" s="1"/>
  <c r="B50" i="4"/>
  <c r="A50" i="4"/>
  <c r="H49" i="4"/>
  <c r="G49" i="4"/>
  <c r="F233" i="5" s="1"/>
  <c r="F49" i="4"/>
  <c r="E233" i="5" s="1"/>
  <c r="E49" i="4"/>
  <c r="D233" i="5" s="1"/>
  <c r="D49" i="4"/>
  <c r="C233" i="5" s="1"/>
  <c r="C49" i="4"/>
  <c r="B233" i="5" s="1"/>
  <c r="B49" i="4"/>
  <c r="A49" i="4"/>
  <c r="A233" i="5" s="1"/>
  <c r="H48" i="4"/>
  <c r="G232" i="5" s="1"/>
  <c r="G48" i="4"/>
  <c r="F48" i="4"/>
  <c r="E48" i="4"/>
  <c r="D48" i="4"/>
  <c r="C232" i="5" s="1"/>
  <c r="C48" i="4"/>
  <c r="B232" i="5" s="1"/>
  <c r="B48" i="4"/>
  <c r="A48" i="4"/>
  <c r="A232" i="5" s="1"/>
  <c r="H47" i="4"/>
  <c r="G231" i="5" s="1"/>
  <c r="G47" i="4"/>
  <c r="F231" i="5" s="1"/>
  <c r="F47" i="4"/>
  <c r="E47" i="4"/>
  <c r="D231" i="5" s="1"/>
  <c r="D47" i="4"/>
  <c r="C231" i="5" s="1"/>
  <c r="C47" i="4"/>
  <c r="B47" i="4"/>
  <c r="A47" i="4"/>
  <c r="A231" i="5" s="1"/>
  <c r="H46" i="4"/>
  <c r="G46" i="4"/>
  <c r="F230" i="5" s="1"/>
  <c r="F46" i="4"/>
  <c r="E46" i="4"/>
  <c r="D230" i="5" s="1"/>
  <c r="D46" i="4"/>
  <c r="C230" i="5" s="1"/>
  <c r="C46" i="4"/>
  <c r="B230" i="5" s="1"/>
  <c r="B46" i="4"/>
  <c r="A46" i="4"/>
  <c r="H45" i="4"/>
  <c r="G229" i="5" s="1"/>
  <c r="G45" i="4"/>
  <c r="F45" i="4"/>
  <c r="E45" i="4"/>
  <c r="D229" i="5" s="1"/>
  <c r="D45" i="4"/>
  <c r="C45" i="4"/>
  <c r="B229" i="5" s="1"/>
  <c r="B45" i="4"/>
  <c r="A45" i="4"/>
  <c r="A229" i="5" s="1"/>
  <c r="H44" i="4"/>
  <c r="G228" i="5" s="1"/>
  <c r="G44" i="4"/>
  <c r="F228" i="5" s="1"/>
  <c r="F44" i="4"/>
  <c r="E44" i="4"/>
  <c r="D228" i="5" s="1"/>
  <c r="D44" i="4"/>
  <c r="C44" i="4"/>
  <c r="B228" i="5" s="1"/>
  <c r="B44" i="4"/>
  <c r="A44" i="4"/>
  <c r="H43" i="4"/>
  <c r="G43" i="4"/>
  <c r="F227" i="5" s="1"/>
  <c r="F43" i="4"/>
  <c r="E227" i="5" s="1"/>
  <c r="E43" i="4"/>
  <c r="D227" i="5" s="1"/>
  <c r="D43" i="4"/>
  <c r="C227" i="5" s="1"/>
  <c r="C43" i="4"/>
  <c r="B227" i="5" s="1"/>
  <c r="B43" i="4"/>
  <c r="A43" i="4"/>
  <c r="H42" i="4"/>
  <c r="G226" i="5" s="1"/>
  <c r="G42" i="4"/>
  <c r="F226" i="5" s="1"/>
  <c r="F42" i="4"/>
  <c r="E42" i="4"/>
  <c r="D226" i="5" s="1"/>
  <c r="D42" i="4"/>
  <c r="C42" i="4"/>
  <c r="B226" i="5" s="1"/>
  <c r="B42" i="4"/>
  <c r="A42" i="4"/>
  <c r="H41" i="4"/>
  <c r="G225" i="5" s="1"/>
  <c r="G41" i="4"/>
  <c r="F41" i="4"/>
  <c r="E41" i="4"/>
  <c r="D225" i="5" s="1"/>
  <c r="D41" i="4"/>
  <c r="C225" i="5" s="1"/>
  <c r="C41" i="4"/>
  <c r="B225" i="5" s="1"/>
  <c r="B41" i="4"/>
  <c r="A41" i="4"/>
  <c r="A225" i="5" s="1"/>
  <c r="H40" i="4"/>
  <c r="G224" i="5" s="1"/>
  <c r="G40" i="4"/>
  <c r="F224" i="5" s="1"/>
  <c r="F40" i="4"/>
  <c r="E40" i="4"/>
  <c r="D40" i="4"/>
  <c r="C224" i="5" s="1"/>
  <c r="C40" i="4"/>
  <c r="B224" i="5" s="1"/>
  <c r="B40" i="4"/>
  <c r="A40" i="4"/>
  <c r="H39" i="4"/>
  <c r="G223" i="5" s="1"/>
  <c r="G39" i="4"/>
  <c r="F223" i="5" s="1"/>
  <c r="F39" i="4"/>
  <c r="E39" i="4"/>
  <c r="D223" i="5" s="1"/>
  <c r="D39" i="4"/>
  <c r="C39" i="4"/>
  <c r="B223" i="5" s="1"/>
  <c r="B39" i="4"/>
  <c r="A39" i="4"/>
  <c r="H38" i="4"/>
  <c r="G38" i="4"/>
  <c r="F222" i="5" s="1"/>
  <c r="F38" i="4"/>
  <c r="E222" i="5" s="1"/>
  <c r="E38" i="4"/>
  <c r="D222" i="5" s="1"/>
  <c r="D38" i="4"/>
  <c r="C222" i="5" s="1"/>
  <c r="C38" i="4"/>
  <c r="B222" i="5" s="1"/>
  <c r="B38" i="4"/>
  <c r="A38" i="4"/>
  <c r="H37" i="4"/>
  <c r="G221" i="5" s="1"/>
  <c r="G37" i="4"/>
  <c r="F37" i="4"/>
  <c r="E224" i="1" s="1"/>
  <c r="E37" i="4"/>
  <c r="D37" i="4"/>
  <c r="C221" i="5" s="1"/>
  <c r="C37" i="4"/>
  <c r="B37" i="4"/>
  <c r="A37" i="4"/>
  <c r="A221" i="5" s="1"/>
  <c r="H36" i="4"/>
  <c r="G220" i="5" s="1"/>
  <c r="G36" i="4"/>
  <c r="F220" i="5" s="1"/>
  <c r="F36" i="4"/>
  <c r="E36" i="4"/>
  <c r="D220" i="5" s="1"/>
  <c r="D36" i="4"/>
  <c r="C220" i="5" s="1"/>
  <c r="C36" i="4"/>
  <c r="B220" i="5" s="1"/>
  <c r="B36" i="4"/>
  <c r="A36" i="4"/>
  <c r="H35" i="4"/>
  <c r="G35" i="4"/>
  <c r="F35" i="4"/>
  <c r="E35" i="4"/>
  <c r="D219" i="5" s="1"/>
  <c r="D35" i="4"/>
  <c r="C219" i="5" s="1"/>
  <c r="C35" i="4"/>
  <c r="B219" i="5" s="1"/>
  <c r="B35" i="4"/>
  <c r="A35" i="4"/>
  <c r="H34" i="4"/>
  <c r="G218" i="5" s="1"/>
  <c r="G34" i="4"/>
  <c r="F218" i="5" s="1"/>
  <c r="F34" i="4"/>
  <c r="E34" i="4"/>
  <c r="D218" i="5" s="1"/>
  <c r="D34" i="4"/>
  <c r="C34" i="4"/>
  <c r="B218" i="5" s="1"/>
  <c r="B34" i="4"/>
  <c r="A34" i="4"/>
  <c r="H33" i="4"/>
  <c r="G217" i="5" s="1"/>
  <c r="G33" i="4"/>
  <c r="F217" i="5" s="1"/>
  <c r="F33" i="4"/>
  <c r="E33" i="4"/>
  <c r="D217" i="5" s="1"/>
  <c r="D33" i="4"/>
  <c r="C217" i="5" s="1"/>
  <c r="C33" i="4"/>
  <c r="B217" i="5" s="1"/>
  <c r="B33" i="4"/>
  <c r="A33" i="4"/>
  <c r="A217" i="5" s="1"/>
  <c r="H32" i="4"/>
  <c r="G216" i="5" s="1"/>
  <c r="G32" i="4"/>
  <c r="F32" i="4"/>
  <c r="E32" i="4"/>
  <c r="D216" i="5" s="1"/>
  <c r="D32" i="4"/>
  <c r="C216" i="5" s="1"/>
  <c r="C32" i="4"/>
  <c r="B216" i="5" s="1"/>
  <c r="B32" i="4"/>
  <c r="A32" i="4"/>
  <c r="A216" i="5" s="1"/>
  <c r="H31" i="4"/>
  <c r="G215" i="5" s="1"/>
  <c r="G31" i="4"/>
  <c r="F215" i="5" s="1"/>
  <c r="F31" i="4"/>
  <c r="E31" i="4"/>
  <c r="D31" i="4"/>
  <c r="C215" i="5" s="1"/>
  <c r="C31" i="4"/>
  <c r="B215" i="5" s="1"/>
  <c r="B31" i="4"/>
  <c r="A31" i="4"/>
  <c r="A215" i="5" s="1"/>
  <c r="H30" i="4"/>
  <c r="G214" i="5" s="1"/>
  <c r="G30" i="4"/>
  <c r="F214" i="5" s="1"/>
  <c r="F30" i="4"/>
  <c r="E30" i="4"/>
  <c r="D214" i="5" s="1"/>
  <c r="D30" i="4"/>
  <c r="C30" i="4"/>
  <c r="B214" i="5" s="1"/>
  <c r="B30" i="4"/>
  <c r="A30" i="4"/>
  <c r="H29" i="4"/>
  <c r="G213" i="5" s="1"/>
  <c r="G29" i="4"/>
  <c r="F213" i="5" s="1"/>
  <c r="F29" i="4"/>
  <c r="E216" i="1" s="1"/>
  <c r="E29" i="4"/>
  <c r="D213" i="5" s="1"/>
  <c r="D29" i="4"/>
  <c r="C213" i="5" s="1"/>
  <c r="C29" i="4"/>
  <c r="B29" i="4"/>
  <c r="A29" i="4"/>
  <c r="A213" i="5" s="1"/>
  <c r="H28" i="4"/>
  <c r="G212" i="5" s="1"/>
  <c r="G28" i="4"/>
  <c r="F212" i="5" s="1"/>
  <c r="F28" i="4"/>
  <c r="E28" i="4"/>
  <c r="D212" i="5" s="1"/>
  <c r="D28" i="4"/>
  <c r="C212" i="5" s="1"/>
  <c r="C28" i="4"/>
  <c r="B212" i="5" s="1"/>
  <c r="B28" i="4"/>
  <c r="A28" i="4"/>
  <c r="A212" i="5" s="1"/>
  <c r="H27" i="4"/>
  <c r="G27" i="4"/>
  <c r="F211" i="5" s="1"/>
  <c r="F27" i="4"/>
  <c r="E27" i="4"/>
  <c r="D211" i="5" s="1"/>
  <c r="D27" i="4"/>
  <c r="C211" i="5" s="1"/>
  <c r="C27" i="4"/>
  <c r="B211" i="5" s="1"/>
  <c r="B27" i="4"/>
  <c r="A27" i="4"/>
  <c r="A211" i="5" s="1"/>
  <c r="H26" i="4"/>
  <c r="G210" i="5" s="1"/>
  <c r="G26" i="4"/>
  <c r="F210" i="5" s="1"/>
  <c r="F26" i="4"/>
  <c r="E26" i="4"/>
  <c r="D210" i="5" s="1"/>
  <c r="D26" i="4"/>
  <c r="C26" i="4"/>
  <c r="B210" i="5" s="1"/>
  <c r="B26" i="4"/>
  <c r="A26" i="4"/>
  <c r="A210" i="5" s="1"/>
  <c r="H25" i="4"/>
  <c r="G209" i="5" s="1"/>
  <c r="G25" i="4"/>
  <c r="F209" i="5" s="1"/>
  <c r="F25" i="4"/>
  <c r="E25" i="4"/>
  <c r="D209" i="5" s="1"/>
  <c r="D25" i="4"/>
  <c r="C209" i="5" s="1"/>
  <c r="C25" i="4"/>
  <c r="B209" i="5" s="1"/>
  <c r="B25" i="4"/>
  <c r="A25" i="4"/>
  <c r="H24" i="4"/>
  <c r="G24" i="4"/>
  <c r="F208" i="5" s="1"/>
  <c r="F24" i="4"/>
  <c r="E24" i="4"/>
  <c r="D208" i="5" s="1"/>
  <c r="D24" i="4"/>
  <c r="C208" i="5" s="1"/>
  <c r="C24" i="4"/>
  <c r="B208" i="5" s="1"/>
  <c r="B24" i="4"/>
  <c r="A24" i="4"/>
  <c r="H23" i="4"/>
  <c r="G207" i="5" s="1"/>
  <c r="G23" i="4"/>
  <c r="F207" i="5" s="1"/>
  <c r="F23" i="4"/>
  <c r="E207" i="5" s="1"/>
  <c r="E23" i="4"/>
  <c r="D23" i="4"/>
  <c r="C23" i="4"/>
  <c r="B207" i="5" s="1"/>
  <c r="B23" i="4"/>
  <c r="A23" i="4"/>
  <c r="H22" i="4"/>
  <c r="G206" i="5" s="1"/>
  <c r="G22" i="4"/>
  <c r="F206" i="5" s="1"/>
  <c r="F22" i="4"/>
  <c r="E22" i="4"/>
  <c r="D206" i="5" s="1"/>
  <c r="D22" i="4"/>
  <c r="C22" i="4"/>
  <c r="B22" i="4"/>
  <c r="A22" i="4"/>
  <c r="H21" i="4"/>
  <c r="G205" i="5" s="1"/>
  <c r="G21" i="4"/>
  <c r="F205" i="5" s="1"/>
  <c r="F21" i="4"/>
  <c r="E21" i="4"/>
  <c r="D205" i="5" s="1"/>
  <c r="D21" i="4"/>
  <c r="C21" i="4"/>
  <c r="B21" i="4"/>
  <c r="A21" i="4"/>
  <c r="H20" i="4"/>
  <c r="G20" i="4"/>
  <c r="F204" i="5" s="1"/>
  <c r="F20" i="4"/>
  <c r="E20" i="4"/>
  <c r="D204" i="5" s="1"/>
  <c r="D20" i="4"/>
  <c r="C20" i="4"/>
  <c r="B204" i="5" s="1"/>
  <c r="B20" i="4"/>
  <c r="A20" i="4"/>
  <c r="H19" i="4"/>
  <c r="G203" i="5" s="1"/>
  <c r="G19" i="4"/>
  <c r="F203" i="5" s="1"/>
  <c r="F19" i="4"/>
  <c r="E203" i="5" s="1"/>
  <c r="E19" i="4"/>
  <c r="D19" i="4"/>
  <c r="C19" i="4"/>
  <c r="B203" i="5" s="1"/>
  <c r="B19" i="4"/>
  <c r="A19" i="4"/>
  <c r="A203" i="5" s="1"/>
  <c r="H18" i="4"/>
  <c r="G202" i="5" s="1"/>
  <c r="G18" i="4"/>
  <c r="F202" i="5" s="1"/>
  <c r="F18" i="4"/>
  <c r="E18" i="4"/>
  <c r="D202" i="5" s="1"/>
  <c r="D18" i="4"/>
  <c r="C202" i="5" s="1"/>
  <c r="C18" i="4"/>
  <c r="B202" i="5" s="1"/>
  <c r="B18" i="4"/>
  <c r="A18" i="4"/>
  <c r="A202" i="5" s="1"/>
  <c r="H17" i="4"/>
  <c r="G17" i="4"/>
  <c r="F201" i="5" s="1"/>
  <c r="F17" i="4"/>
  <c r="E17" i="4"/>
  <c r="D201" i="5" s="1"/>
  <c r="D17" i="4"/>
  <c r="C17" i="4"/>
  <c r="B201" i="5" s="1"/>
  <c r="B17" i="4"/>
  <c r="A17" i="4"/>
  <c r="H16" i="4"/>
  <c r="G200" i="5" s="1"/>
  <c r="G16" i="4"/>
  <c r="F200" i="5" s="1"/>
  <c r="F16" i="4"/>
  <c r="E16" i="4"/>
  <c r="D16" i="4"/>
  <c r="C16" i="4"/>
  <c r="B200" i="5" s="1"/>
  <c r="B16" i="4"/>
  <c r="A16" i="4"/>
  <c r="H15" i="4"/>
  <c r="G199" i="5" s="1"/>
  <c r="G15" i="4"/>
  <c r="F199" i="5" s="1"/>
  <c r="F15" i="4"/>
  <c r="E15" i="4"/>
  <c r="D199" i="5" s="1"/>
  <c r="D15" i="4"/>
  <c r="C15" i="4"/>
  <c r="B15" i="4"/>
  <c r="A15" i="4"/>
  <c r="H14" i="4"/>
  <c r="G198" i="5" s="1"/>
  <c r="G14" i="4"/>
  <c r="F198" i="5" s="1"/>
  <c r="F14" i="4"/>
  <c r="E14" i="4"/>
  <c r="D198" i="5" s="1"/>
  <c r="D14" i="4"/>
  <c r="C14" i="4"/>
  <c r="B198" i="5" s="1"/>
  <c r="B14" i="4"/>
  <c r="A14" i="4"/>
  <c r="H13" i="4"/>
  <c r="G197" i="5" s="1"/>
  <c r="G13" i="4"/>
  <c r="F13" i="4"/>
  <c r="E200" i="1" s="1"/>
  <c r="E13" i="4"/>
  <c r="D197" i="5" s="1"/>
  <c r="D13" i="4"/>
  <c r="C197" i="5" s="1"/>
  <c r="C13" i="4"/>
  <c r="B13" i="4"/>
  <c r="A13" i="4"/>
  <c r="H12" i="4"/>
  <c r="G196" i="5" s="1"/>
  <c r="G12" i="4"/>
  <c r="F196" i="5" s="1"/>
  <c r="F12" i="4"/>
  <c r="E12" i="4"/>
  <c r="D196" i="5" s="1"/>
  <c r="D12" i="4"/>
  <c r="C12" i="4"/>
  <c r="B12" i="4"/>
  <c r="A12" i="4"/>
  <c r="H11" i="4"/>
  <c r="G195" i="5" s="1"/>
  <c r="G11" i="4"/>
  <c r="F195" i="5" s="1"/>
  <c r="F11" i="4"/>
  <c r="E11" i="4"/>
  <c r="D195" i="5" s="1"/>
  <c r="D11" i="4"/>
  <c r="C11" i="4"/>
  <c r="B195" i="5" s="1"/>
  <c r="B11" i="4"/>
  <c r="A11" i="4"/>
  <c r="A195" i="5" s="1"/>
  <c r="H10" i="4"/>
  <c r="G194" i="5" s="1"/>
  <c r="G10" i="4"/>
  <c r="F194" i="5" s="1"/>
  <c r="F10" i="4"/>
  <c r="E10" i="4"/>
  <c r="D194" i="5" s="1"/>
  <c r="D10" i="4"/>
  <c r="C10" i="4"/>
  <c r="B194" i="5" s="1"/>
  <c r="B10" i="4"/>
  <c r="A10" i="4"/>
  <c r="A194" i="5" s="1"/>
  <c r="H9" i="4"/>
  <c r="G193" i="5" s="1"/>
  <c r="G9" i="4"/>
  <c r="F193" i="5" s="1"/>
  <c r="F9" i="4"/>
  <c r="E193" i="5" s="1"/>
  <c r="E9" i="4"/>
  <c r="D193" i="5" s="1"/>
  <c r="D9" i="4"/>
  <c r="C193" i="5" s="1"/>
  <c r="C9" i="4"/>
  <c r="B193" i="5" s="1"/>
  <c r="B9" i="4"/>
  <c r="A9" i="4"/>
  <c r="A193" i="5" s="1"/>
  <c r="H8" i="4"/>
  <c r="G192" i="5" s="1"/>
  <c r="G8" i="4"/>
  <c r="F192" i="5" s="1"/>
  <c r="F8" i="4"/>
  <c r="E8" i="4"/>
  <c r="D192" i="5" s="1"/>
  <c r="D8" i="4"/>
  <c r="C8" i="4"/>
  <c r="B192" i="5" s="1"/>
  <c r="B8" i="4"/>
  <c r="A8" i="4"/>
  <c r="A192" i="5" s="1"/>
  <c r="H7" i="4"/>
  <c r="G191" i="5" s="1"/>
  <c r="G7" i="4"/>
  <c r="F191" i="5" s="1"/>
  <c r="F7" i="4"/>
  <c r="E7" i="4"/>
  <c r="D7" i="4"/>
  <c r="C7" i="4"/>
  <c r="B191" i="5" s="1"/>
  <c r="B7" i="4"/>
  <c r="A7" i="4"/>
  <c r="A191" i="5" s="1"/>
  <c r="H6" i="4"/>
  <c r="G190" i="5" s="1"/>
  <c r="G6" i="4"/>
  <c r="F190" i="5" s="1"/>
  <c r="F6" i="4"/>
  <c r="E6" i="4"/>
  <c r="D190" i="5" s="1"/>
  <c r="D6" i="4"/>
  <c r="C6" i="4"/>
  <c r="B190" i="5" s="1"/>
  <c r="B6" i="4"/>
  <c r="A6" i="4"/>
  <c r="H5" i="4"/>
  <c r="G189" i="5" s="1"/>
  <c r="G5" i="4"/>
  <c r="F189" i="5" s="1"/>
  <c r="F5" i="4"/>
  <c r="E5" i="4"/>
  <c r="D189" i="5" s="1"/>
  <c r="D5" i="4"/>
  <c r="C5" i="4"/>
  <c r="B5" i="4"/>
  <c r="A5" i="4"/>
  <c r="A189" i="5" s="1"/>
  <c r="H4" i="4"/>
  <c r="G188" i="5" s="1"/>
  <c r="G4" i="4"/>
  <c r="F4" i="4"/>
  <c r="E4" i="4"/>
  <c r="D188" i="5" s="1"/>
  <c r="D4" i="4"/>
  <c r="C4" i="4"/>
  <c r="B188" i="5" s="1"/>
  <c r="B4" i="4"/>
  <c r="A4" i="4"/>
  <c r="A188" i="5" s="1"/>
  <c r="H3" i="4"/>
  <c r="G187" i="5" s="1"/>
  <c r="G3" i="4"/>
  <c r="F187" i="5" s="1"/>
  <c r="F3" i="4"/>
  <c r="E3" i="4"/>
  <c r="D187" i="5" s="1"/>
  <c r="D3" i="4"/>
  <c r="C3" i="4"/>
  <c r="B187" i="5" s="1"/>
  <c r="B3" i="4"/>
  <c r="A3" i="4"/>
  <c r="J2" i="4"/>
  <c r="H2" i="4"/>
  <c r="G186" i="5" s="1"/>
  <c r="G2" i="4"/>
  <c r="F2" i="4"/>
  <c r="E186" i="5" s="1"/>
  <c r="E2" i="4"/>
  <c r="D2" i="4"/>
  <c r="C186" i="5" s="1"/>
  <c r="C2" i="4"/>
  <c r="B186" i="5" s="1"/>
  <c r="B2" i="4"/>
  <c r="A2" i="4"/>
  <c r="A186" i="5" s="1"/>
  <c r="H1" i="4"/>
  <c r="G185" i="5" s="1"/>
  <c r="G1" i="4"/>
  <c r="F1" i="4"/>
  <c r="E185" i="5" s="1"/>
  <c r="E1" i="4"/>
  <c r="D1" i="4"/>
  <c r="C185" i="5" s="1"/>
  <c r="C1" i="4"/>
  <c r="B185" i="5" s="1"/>
  <c r="B1" i="4"/>
  <c r="A1" i="4"/>
  <c r="A185" i="5" s="1"/>
  <c r="H469" i="3"/>
  <c r="G469" i="3"/>
  <c r="J469" i="3" s="1"/>
  <c r="F469" i="3"/>
  <c r="E469" i="3"/>
  <c r="D469" i="3"/>
  <c r="C469" i="3"/>
  <c r="B469" i="3"/>
  <c r="A469" i="3"/>
  <c r="J468" i="3"/>
  <c r="G468" i="3"/>
  <c r="F468" i="3"/>
  <c r="E468" i="3"/>
  <c r="D468" i="3"/>
  <c r="C468" i="3"/>
  <c r="H468" i="3" s="1"/>
  <c r="B468" i="3"/>
  <c r="A468" i="3"/>
  <c r="G467" i="3"/>
  <c r="J467" i="3" s="1"/>
  <c r="F467" i="3"/>
  <c r="E467" i="3"/>
  <c r="D467" i="3"/>
  <c r="C467" i="3"/>
  <c r="B467" i="3"/>
  <c r="H467" i="3" s="1"/>
  <c r="A467" i="3"/>
  <c r="J466" i="3"/>
  <c r="H466" i="3"/>
  <c r="G466" i="3"/>
  <c r="F466" i="3"/>
  <c r="E466" i="3"/>
  <c r="D466" i="3"/>
  <c r="C466" i="3"/>
  <c r="B466" i="3"/>
  <c r="A466" i="3"/>
  <c r="J465" i="3"/>
  <c r="G465" i="3"/>
  <c r="F465" i="3"/>
  <c r="E465" i="3"/>
  <c r="D465" i="3"/>
  <c r="C465" i="3"/>
  <c r="B465" i="3"/>
  <c r="A465" i="3"/>
  <c r="G464" i="3"/>
  <c r="J464" i="3" s="1"/>
  <c r="F464" i="3"/>
  <c r="E464" i="3"/>
  <c r="D464" i="3"/>
  <c r="C464" i="3"/>
  <c r="B464" i="3"/>
  <c r="A464" i="3"/>
  <c r="G463" i="3"/>
  <c r="J463" i="3" s="1"/>
  <c r="F463" i="3"/>
  <c r="E463" i="3"/>
  <c r="D463" i="3"/>
  <c r="C463" i="3"/>
  <c r="H463" i="3" s="1"/>
  <c r="B463" i="3"/>
  <c r="A463" i="3"/>
  <c r="H462" i="3"/>
  <c r="G462" i="3"/>
  <c r="J462" i="3" s="1"/>
  <c r="F462" i="3"/>
  <c r="E462" i="3"/>
  <c r="D462" i="3"/>
  <c r="C462" i="3"/>
  <c r="B462" i="3"/>
  <c r="A462" i="3"/>
  <c r="H461" i="3"/>
  <c r="G461" i="3"/>
  <c r="J461" i="3" s="1"/>
  <c r="F461" i="3"/>
  <c r="E461" i="3"/>
  <c r="D461" i="3"/>
  <c r="C461" i="3"/>
  <c r="B461" i="3"/>
  <c r="A461" i="3"/>
  <c r="H460" i="3"/>
  <c r="G460" i="3"/>
  <c r="J460" i="3" s="1"/>
  <c r="F460" i="3"/>
  <c r="E460" i="3"/>
  <c r="D460" i="3"/>
  <c r="C460" i="3"/>
  <c r="B460" i="3"/>
  <c r="A460" i="3"/>
  <c r="J459" i="3"/>
  <c r="H459" i="3"/>
  <c r="G459" i="3"/>
  <c r="F459" i="3"/>
  <c r="E459" i="3"/>
  <c r="D459" i="3"/>
  <c r="C459" i="3"/>
  <c r="B459" i="3"/>
  <c r="A459" i="3"/>
  <c r="J458" i="3"/>
  <c r="G458" i="3"/>
  <c r="F458" i="3"/>
  <c r="E458" i="3"/>
  <c r="D458" i="3"/>
  <c r="C458" i="3"/>
  <c r="B458" i="3"/>
  <c r="A458" i="3"/>
  <c r="J457" i="3"/>
  <c r="G457" i="3"/>
  <c r="F457" i="3"/>
  <c r="E457" i="3"/>
  <c r="D457" i="3"/>
  <c r="C457" i="3"/>
  <c r="B457" i="3"/>
  <c r="A457" i="3"/>
  <c r="G456" i="3"/>
  <c r="J456" i="3" s="1"/>
  <c r="F456" i="3"/>
  <c r="E456" i="3"/>
  <c r="D456" i="3"/>
  <c r="C456" i="3"/>
  <c r="B456" i="3"/>
  <c r="H456" i="3" s="1"/>
  <c r="A456" i="3"/>
  <c r="H455" i="3"/>
  <c r="G455" i="3"/>
  <c r="J455" i="3" s="1"/>
  <c r="F455" i="3"/>
  <c r="E455" i="3"/>
  <c r="D455" i="3"/>
  <c r="C455" i="3"/>
  <c r="B455" i="3"/>
  <c r="A455" i="3"/>
  <c r="J454" i="3"/>
  <c r="H454" i="3"/>
  <c r="G454" i="3"/>
  <c r="F454" i="3"/>
  <c r="E454" i="3"/>
  <c r="D454" i="3"/>
  <c r="C454" i="3"/>
  <c r="B454" i="3"/>
  <c r="A454" i="3"/>
  <c r="G453" i="3"/>
  <c r="J453" i="3" s="1"/>
  <c r="F453" i="3"/>
  <c r="E453" i="3"/>
  <c r="D453" i="3"/>
  <c r="C453" i="3"/>
  <c r="B453" i="3"/>
  <c r="H453" i="3" s="1"/>
  <c r="A453" i="3"/>
  <c r="H452" i="3"/>
  <c r="G452" i="3"/>
  <c r="J452" i="3" s="1"/>
  <c r="F452" i="3"/>
  <c r="E452" i="3"/>
  <c r="D452" i="3"/>
  <c r="C452" i="3"/>
  <c r="B452" i="3"/>
  <c r="A452" i="3"/>
  <c r="J451" i="3"/>
  <c r="H451" i="3"/>
  <c r="G451" i="3"/>
  <c r="F451" i="3"/>
  <c r="E451" i="3"/>
  <c r="D451" i="3"/>
  <c r="C451" i="3"/>
  <c r="B451" i="3"/>
  <c r="A451" i="3"/>
  <c r="J450" i="3"/>
  <c r="G450" i="3"/>
  <c r="F450" i="3"/>
  <c r="E450" i="3"/>
  <c r="D450" i="3"/>
  <c r="C450" i="3"/>
  <c r="B450" i="3"/>
  <c r="H450" i="3" s="1"/>
  <c r="A450" i="3"/>
  <c r="J449" i="3"/>
  <c r="G449" i="3"/>
  <c r="F449" i="3"/>
  <c r="E449" i="3"/>
  <c r="D449" i="3"/>
  <c r="C449" i="3"/>
  <c r="B449" i="3"/>
  <c r="H449" i="3" s="1"/>
  <c r="A449" i="3"/>
  <c r="G448" i="3"/>
  <c r="J448" i="3" s="1"/>
  <c r="F448" i="3"/>
  <c r="E448" i="3"/>
  <c r="D448" i="3"/>
  <c r="C448" i="3"/>
  <c r="B448" i="3"/>
  <c r="A448" i="3"/>
  <c r="G447" i="3"/>
  <c r="J447" i="3" s="1"/>
  <c r="F447" i="3"/>
  <c r="E447" i="3"/>
  <c r="D447" i="3"/>
  <c r="C447" i="3"/>
  <c r="H447" i="3" s="1"/>
  <c r="B447" i="3"/>
  <c r="A447" i="3"/>
  <c r="J446" i="3"/>
  <c r="H446" i="3"/>
  <c r="G446" i="3"/>
  <c r="F446" i="3"/>
  <c r="E446" i="3"/>
  <c r="D446" i="3"/>
  <c r="C446" i="3"/>
  <c r="B446" i="3"/>
  <c r="A446" i="3"/>
  <c r="G445" i="3"/>
  <c r="J445" i="3" s="1"/>
  <c r="F445" i="3"/>
  <c r="E445" i="3"/>
  <c r="D445" i="3"/>
  <c r="C445" i="3"/>
  <c r="B445" i="3"/>
  <c r="H445" i="3" s="1"/>
  <c r="A445" i="3"/>
  <c r="G444" i="3"/>
  <c r="J444" i="3" s="1"/>
  <c r="F444" i="3"/>
  <c r="E444" i="3"/>
  <c r="D444" i="3"/>
  <c r="C444" i="3"/>
  <c r="H444" i="3" s="1"/>
  <c r="B444" i="3"/>
  <c r="A444" i="3"/>
  <c r="H443" i="3"/>
  <c r="G443" i="3"/>
  <c r="J443" i="3" s="1"/>
  <c r="F443" i="3"/>
  <c r="E443" i="3"/>
  <c r="D443" i="3"/>
  <c r="C443" i="3"/>
  <c r="B443" i="3"/>
  <c r="A443" i="3"/>
  <c r="J442" i="3"/>
  <c r="H442" i="3"/>
  <c r="G442" i="3"/>
  <c r="F442" i="3"/>
  <c r="E442" i="3"/>
  <c r="D442" i="3"/>
  <c r="C442" i="3"/>
  <c r="B442" i="3"/>
  <c r="A442" i="3"/>
  <c r="J441" i="3"/>
  <c r="G441" i="3"/>
  <c r="F441" i="3"/>
  <c r="E441" i="3"/>
  <c r="D441" i="3"/>
  <c r="C441" i="3"/>
  <c r="B441" i="3"/>
  <c r="A441" i="3"/>
  <c r="G440" i="3"/>
  <c r="J440" i="3" s="1"/>
  <c r="F440" i="3"/>
  <c r="E440" i="3"/>
  <c r="D440" i="3"/>
  <c r="C440" i="3"/>
  <c r="B440" i="3"/>
  <c r="A440" i="3"/>
  <c r="G439" i="3"/>
  <c r="J439" i="3" s="1"/>
  <c r="F439" i="3"/>
  <c r="E439" i="3"/>
  <c r="D439" i="3"/>
  <c r="C439" i="3"/>
  <c r="H439" i="3" s="1"/>
  <c r="B439" i="3"/>
  <c r="A439" i="3"/>
  <c r="H438" i="3"/>
  <c r="G438" i="3"/>
  <c r="J438" i="3" s="1"/>
  <c r="F438" i="3"/>
  <c r="E438" i="3"/>
  <c r="D438" i="3"/>
  <c r="C438" i="3"/>
  <c r="B438" i="3"/>
  <c r="A438" i="3"/>
  <c r="H437" i="3"/>
  <c r="G437" i="3"/>
  <c r="J437" i="3" s="1"/>
  <c r="F437" i="3"/>
  <c r="E437" i="3"/>
  <c r="D437" i="3"/>
  <c r="C437" i="3"/>
  <c r="B437" i="3"/>
  <c r="A437" i="3"/>
  <c r="J436" i="3"/>
  <c r="H436" i="3"/>
  <c r="G436" i="3"/>
  <c r="F436" i="3"/>
  <c r="E436" i="3"/>
  <c r="D436" i="3"/>
  <c r="C436" i="3"/>
  <c r="B436" i="3"/>
  <c r="A436" i="3"/>
  <c r="J435" i="3"/>
  <c r="G435" i="3"/>
  <c r="F435" i="3"/>
  <c r="E435" i="3"/>
  <c r="D435" i="3"/>
  <c r="C435" i="3"/>
  <c r="B435" i="3"/>
  <c r="H435" i="3" s="1"/>
  <c r="A435" i="3"/>
  <c r="J434" i="3"/>
  <c r="G434" i="3"/>
  <c r="F434" i="3"/>
  <c r="E434" i="3"/>
  <c r="D434" i="3"/>
  <c r="C434" i="3"/>
  <c r="B434" i="3"/>
  <c r="H434" i="3" s="1"/>
  <c r="A434" i="3"/>
  <c r="J433" i="3"/>
  <c r="G433" i="3"/>
  <c r="F433" i="3"/>
  <c r="E433" i="3"/>
  <c r="D433" i="3"/>
  <c r="C433" i="3"/>
  <c r="B433" i="3"/>
  <c r="A433" i="3"/>
  <c r="G432" i="3"/>
  <c r="J432" i="3" s="1"/>
  <c r="F432" i="3"/>
  <c r="E432" i="3"/>
  <c r="D432" i="3"/>
  <c r="C432" i="3"/>
  <c r="B432" i="3"/>
  <c r="A432" i="3"/>
  <c r="G431" i="3"/>
  <c r="J431" i="3" s="1"/>
  <c r="F431" i="3"/>
  <c r="E431" i="3"/>
  <c r="D431" i="3"/>
  <c r="C431" i="3"/>
  <c r="H431" i="3" s="1"/>
  <c r="B431" i="3"/>
  <c r="A431" i="3"/>
  <c r="H430" i="3"/>
  <c r="G430" i="3"/>
  <c r="J430" i="3" s="1"/>
  <c r="F430" i="3"/>
  <c r="E430" i="3"/>
  <c r="D430" i="3"/>
  <c r="C430" i="3"/>
  <c r="B430" i="3"/>
  <c r="A430" i="3"/>
  <c r="G429" i="3"/>
  <c r="J429" i="3" s="1"/>
  <c r="F429" i="3"/>
  <c r="E429" i="3"/>
  <c r="D429" i="3"/>
  <c r="C429" i="3"/>
  <c r="B429" i="3"/>
  <c r="H429" i="3" s="1"/>
  <c r="A429" i="3"/>
  <c r="J428" i="3"/>
  <c r="G428" i="3"/>
  <c r="F428" i="3"/>
  <c r="E428" i="3"/>
  <c r="D428" i="3"/>
  <c r="C428" i="3"/>
  <c r="H428" i="3" s="1"/>
  <c r="B428" i="3"/>
  <c r="A428" i="3"/>
  <c r="J427" i="3"/>
  <c r="G427" i="3"/>
  <c r="F427" i="3"/>
  <c r="E427" i="3"/>
  <c r="D427" i="3"/>
  <c r="C427" i="3"/>
  <c r="B427" i="3"/>
  <c r="H427" i="3" s="1"/>
  <c r="A427" i="3"/>
  <c r="J426" i="3"/>
  <c r="G426" i="3"/>
  <c r="F426" i="3"/>
  <c r="E426" i="3"/>
  <c r="D426" i="3"/>
  <c r="C426" i="3"/>
  <c r="B426" i="3"/>
  <c r="A426" i="3"/>
  <c r="J425" i="3"/>
  <c r="G425" i="3"/>
  <c r="F425" i="3"/>
  <c r="E425" i="3"/>
  <c r="D425" i="3"/>
  <c r="C425" i="3"/>
  <c r="B425" i="3"/>
  <c r="A425" i="3"/>
  <c r="G424" i="3"/>
  <c r="J424" i="3" s="1"/>
  <c r="F424" i="3"/>
  <c r="E424" i="3"/>
  <c r="D424" i="3"/>
  <c r="C424" i="3"/>
  <c r="B424" i="3"/>
  <c r="H424" i="3" s="1"/>
  <c r="A424" i="3"/>
  <c r="H423" i="3"/>
  <c r="G423" i="3"/>
  <c r="J423" i="3" s="1"/>
  <c r="F423" i="3"/>
  <c r="E423" i="3"/>
  <c r="D423" i="3"/>
  <c r="C423" i="3"/>
  <c r="B423" i="3"/>
  <c r="A423" i="3"/>
  <c r="H422" i="3"/>
  <c r="G422" i="3"/>
  <c r="J422" i="3" s="1"/>
  <c r="F422" i="3"/>
  <c r="E422" i="3"/>
  <c r="D422" i="3"/>
  <c r="C422" i="3"/>
  <c r="B422" i="3"/>
  <c r="A422" i="3"/>
  <c r="G421" i="3"/>
  <c r="J421" i="3" s="1"/>
  <c r="F421" i="3"/>
  <c r="E421" i="3"/>
  <c r="D421" i="3"/>
  <c r="C421" i="3"/>
  <c r="B421" i="3"/>
  <c r="H421" i="3" s="1"/>
  <c r="A421" i="3"/>
  <c r="G420" i="3"/>
  <c r="J420" i="3" s="1"/>
  <c r="F420" i="3"/>
  <c r="E420" i="3"/>
  <c r="D420" i="3"/>
  <c r="C420" i="3"/>
  <c r="H420" i="3" s="1"/>
  <c r="B420" i="3"/>
  <c r="A420" i="3"/>
  <c r="H419" i="3"/>
  <c r="G419" i="3"/>
  <c r="J419" i="3" s="1"/>
  <c r="F419" i="3"/>
  <c r="E419" i="3"/>
  <c r="D419" i="3"/>
  <c r="C419" i="3"/>
  <c r="B419" i="3"/>
  <c r="A419" i="3"/>
  <c r="J418" i="3"/>
  <c r="H418" i="3"/>
  <c r="G418" i="3"/>
  <c r="F418" i="3"/>
  <c r="E418" i="3"/>
  <c r="D418" i="3"/>
  <c r="C418" i="3"/>
  <c r="B418" i="3"/>
  <c r="A418" i="3"/>
  <c r="J417" i="3"/>
  <c r="G417" i="3"/>
  <c r="F417" i="3"/>
  <c r="E417" i="3"/>
  <c r="D417" i="3"/>
  <c r="C417" i="3"/>
  <c r="B417" i="3"/>
  <c r="H417" i="3" s="1"/>
  <c r="A417" i="3"/>
  <c r="G416" i="3"/>
  <c r="J416" i="3" s="1"/>
  <c r="F416" i="3"/>
  <c r="E416" i="3"/>
  <c r="D416" i="3"/>
  <c r="C416" i="3"/>
  <c r="B416" i="3"/>
  <c r="A416" i="3"/>
  <c r="G415" i="3"/>
  <c r="J415" i="3" s="1"/>
  <c r="F415" i="3"/>
  <c r="E415" i="3"/>
  <c r="D415" i="3"/>
  <c r="C415" i="3"/>
  <c r="A415" i="3"/>
  <c r="H414" i="3"/>
  <c r="G414" i="3"/>
  <c r="J414" i="3" s="1"/>
  <c r="E414" i="3"/>
  <c r="D414" i="3"/>
  <c r="C414" i="3"/>
  <c r="B414" i="3"/>
  <c r="A414" i="3"/>
  <c r="H413" i="3"/>
  <c r="G413" i="3"/>
  <c r="J413" i="3" s="1"/>
  <c r="F413" i="3"/>
  <c r="D413" i="3"/>
  <c r="C413" i="3"/>
  <c r="B413" i="3"/>
  <c r="A413" i="3"/>
  <c r="G412" i="3"/>
  <c r="J412" i="3" s="1"/>
  <c r="F412" i="3"/>
  <c r="E412" i="3"/>
  <c r="D412" i="3"/>
  <c r="C412" i="3"/>
  <c r="A412" i="3"/>
  <c r="H411" i="3"/>
  <c r="G411" i="3"/>
  <c r="J411" i="3" s="1"/>
  <c r="F411" i="3"/>
  <c r="C411" i="3"/>
  <c r="B411" i="3"/>
  <c r="A411" i="3"/>
  <c r="H410" i="3"/>
  <c r="F410" i="3"/>
  <c r="E410" i="3"/>
  <c r="D410" i="3"/>
  <c r="C410" i="3"/>
  <c r="B410" i="3"/>
  <c r="A410" i="3"/>
  <c r="J409" i="3"/>
  <c r="G409" i="3"/>
  <c r="F409" i="3"/>
  <c r="D409" i="3"/>
  <c r="C409" i="3"/>
  <c r="B409" i="3"/>
  <c r="G408" i="3"/>
  <c r="J408" i="3" s="1"/>
  <c r="F408" i="3"/>
  <c r="D408" i="3"/>
  <c r="C408" i="3"/>
  <c r="B408" i="3"/>
  <c r="H407" i="3"/>
  <c r="G407" i="3"/>
  <c r="J407" i="3" s="1"/>
  <c r="F407" i="3"/>
  <c r="D407" i="3"/>
  <c r="C407" i="3"/>
  <c r="B407" i="3"/>
  <c r="G406" i="3"/>
  <c r="J406" i="3" s="1"/>
  <c r="F406" i="3"/>
  <c r="D406" i="3"/>
  <c r="C406" i="3"/>
  <c r="B406" i="3"/>
  <c r="H406" i="3" s="1"/>
  <c r="A406" i="3"/>
  <c r="G405" i="3"/>
  <c r="J405" i="3" s="1"/>
  <c r="F405" i="3"/>
  <c r="D405" i="3"/>
  <c r="C405" i="3"/>
  <c r="B405" i="3"/>
  <c r="H405" i="3" s="1"/>
  <c r="G404" i="3"/>
  <c r="J404" i="3" s="1"/>
  <c r="F404" i="3"/>
  <c r="D404" i="3"/>
  <c r="C404" i="3"/>
  <c r="H404" i="3" s="1"/>
  <c r="B404" i="3"/>
  <c r="G403" i="3"/>
  <c r="J403" i="3" s="1"/>
  <c r="F403" i="3"/>
  <c r="D403" i="3"/>
  <c r="C403" i="3"/>
  <c r="B403" i="3"/>
  <c r="H403" i="3" s="1"/>
  <c r="J402" i="3"/>
  <c r="G402" i="3"/>
  <c r="F402" i="3"/>
  <c r="D402" i="3"/>
  <c r="C402" i="3"/>
  <c r="B402" i="3"/>
  <c r="H402" i="3" s="1"/>
  <c r="A402" i="3"/>
  <c r="G401" i="3"/>
  <c r="J401" i="3" s="1"/>
  <c r="F401" i="3"/>
  <c r="D401" i="3"/>
  <c r="C401" i="3"/>
  <c r="B401" i="3"/>
  <c r="H401" i="3" s="1"/>
  <c r="A401" i="3"/>
  <c r="G400" i="3"/>
  <c r="J400" i="3" s="1"/>
  <c r="F400" i="3"/>
  <c r="D400" i="3"/>
  <c r="C400" i="3"/>
  <c r="B400" i="3"/>
  <c r="G399" i="3"/>
  <c r="J399" i="3" s="1"/>
  <c r="F399" i="3"/>
  <c r="D399" i="3"/>
  <c r="C399" i="3"/>
  <c r="B399" i="3"/>
  <c r="H399" i="3" s="1"/>
  <c r="G398" i="3"/>
  <c r="J398" i="3" s="1"/>
  <c r="F398" i="3"/>
  <c r="D398" i="3"/>
  <c r="C398" i="3"/>
  <c r="H398" i="3" s="1"/>
  <c r="B398" i="3"/>
  <c r="G397" i="3"/>
  <c r="J397" i="3" s="1"/>
  <c r="F397" i="3"/>
  <c r="D397" i="3"/>
  <c r="C397" i="3"/>
  <c r="B397" i="3"/>
  <c r="H397" i="3" s="1"/>
  <c r="G396" i="3"/>
  <c r="J396" i="3" s="1"/>
  <c r="F396" i="3"/>
  <c r="D396" i="3"/>
  <c r="C396" i="3"/>
  <c r="H396" i="3" s="1"/>
  <c r="B396" i="3"/>
  <c r="A396" i="3"/>
  <c r="G395" i="3"/>
  <c r="J395" i="3" s="1"/>
  <c r="F395" i="3"/>
  <c r="D395" i="3"/>
  <c r="C395" i="3"/>
  <c r="B395" i="3"/>
  <c r="A395" i="3"/>
  <c r="J394" i="3"/>
  <c r="G394" i="3"/>
  <c r="F394" i="3"/>
  <c r="D394" i="3"/>
  <c r="C394" i="3"/>
  <c r="B394" i="3"/>
  <c r="A394" i="3"/>
  <c r="J393" i="3"/>
  <c r="G393" i="3"/>
  <c r="F393" i="3"/>
  <c r="D393" i="3"/>
  <c r="C393" i="3"/>
  <c r="B393" i="3"/>
  <c r="H393" i="3" s="1"/>
  <c r="A393" i="3"/>
  <c r="G392" i="3"/>
  <c r="J392" i="3" s="1"/>
  <c r="F392" i="3"/>
  <c r="E392" i="3"/>
  <c r="D392" i="3"/>
  <c r="C392" i="3"/>
  <c r="B392" i="3"/>
  <c r="G391" i="3"/>
  <c r="J391" i="3" s="1"/>
  <c r="F391" i="3"/>
  <c r="D391" i="3"/>
  <c r="C391" i="3"/>
  <c r="H391" i="3" s="1"/>
  <c r="B391" i="3"/>
  <c r="G390" i="3"/>
  <c r="J390" i="3" s="1"/>
  <c r="F390" i="3"/>
  <c r="D390" i="3"/>
  <c r="C390" i="3"/>
  <c r="B390" i="3"/>
  <c r="A390" i="3"/>
  <c r="J389" i="3"/>
  <c r="G389" i="3"/>
  <c r="F389" i="3"/>
  <c r="D389" i="3"/>
  <c r="C389" i="3"/>
  <c r="B389" i="3"/>
  <c r="H389" i="3" s="1"/>
  <c r="A389" i="3"/>
  <c r="J388" i="3"/>
  <c r="G388" i="3"/>
  <c r="F388" i="3"/>
  <c r="D388" i="3"/>
  <c r="C388" i="3"/>
  <c r="H388" i="3" s="1"/>
  <c r="B388" i="3"/>
  <c r="A388" i="3"/>
  <c r="G387" i="3"/>
  <c r="J387" i="3" s="1"/>
  <c r="F387" i="3"/>
  <c r="D387" i="3"/>
  <c r="C387" i="3"/>
  <c r="H387" i="3" s="1"/>
  <c r="B387" i="3"/>
  <c r="A387" i="3"/>
  <c r="J386" i="3"/>
  <c r="G386" i="3"/>
  <c r="F386" i="3"/>
  <c r="D386" i="3"/>
  <c r="C386" i="3"/>
  <c r="B386" i="3"/>
  <c r="H386" i="3" s="1"/>
  <c r="A386" i="3"/>
  <c r="G385" i="3"/>
  <c r="J385" i="3" s="1"/>
  <c r="F385" i="3"/>
  <c r="D385" i="3"/>
  <c r="C385" i="3"/>
  <c r="B385" i="3"/>
  <c r="H385" i="3" s="1"/>
  <c r="A385" i="3"/>
  <c r="G384" i="3"/>
  <c r="J384" i="3" s="1"/>
  <c r="F384" i="3"/>
  <c r="D384" i="3"/>
  <c r="C384" i="3"/>
  <c r="B384" i="3"/>
  <c r="F383" i="3"/>
  <c r="D383" i="3"/>
  <c r="C383" i="3"/>
  <c r="B383" i="3"/>
  <c r="G382" i="3"/>
  <c r="J382" i="3" s="1"/>
  <c r="F382" i="3"/>
  <c r="D382" i="3"/>
  <c r="C382" i="3"/>
  <c r="H382" i="3" s="1"/>
  <c r="B382" i="3"/>
  <c r="J381" i="3"/>
  <c r="H381" i="3"/>
  <c r="G381" i="3"/>
  <c r="F381" i="3"/>
  <c r="D381" i="3"/>
  <c r="C381" i="3"/>
  <c r="B381" i="3"/>
  <c r="J380" i="3"/>
  <c r="G380" i="3"/>
  <c r="F380" i="3"/>
  <c r="D380" i="3"/>
  <c r="C380" i="3"/>
  <c r="H380" i="3" s="1"/>
  <c r="B380" i="3"/>
  <c r="A380" i="3"/>
  <c r="G379" i="3"/>
  <c r="J379" i="3" s="1"/>
  <c r="F379" i="3"/>
  <c r="D379" i="3"/>
  <c r="C379" i="3"/>
  <c r="H379" i="3" s="1"/>
  <c r="B379" i="3"/>
  <c r="J378" i="3"/>
  <c r="G378" i="3"/>
  <c r="F378" i="3"/>
  <c r="D378" i="3"/>
  <c r="C378" i="3"/>
  <c r="B378" i="3"/>
  <c r="A378" i="3"/>
  <c r="G377" i="3"/>
  <c r="J377" i="3" s="1"/>
  <c r="F377" i="3"/>
  <c r="D377" i="3"/>
  <c r="C377" i="3"/>
  <c r="B377" i="3"/>
  <c r="H377" i="3" s="1"/>
  <c r="A377" i="3"/>
  <c r="G376" i="3"/>
  <c r="J376" i="3" s="1"/>
  <c r="F376" i="3"/>
  <c r="D376" i="3"/>
  <c r="C376" i="3"/>
  <c r="B376" i="3"/>
  <c r="G375" i="3"/>
  <c r="J375" i="3" s="1"/>
  <c r="F375" i="3"/>
  <c r="D375" i="3"/>
  <c r="C375" i="3"/>
  <c r="B375" i="3"/>
  <c r="H375" i="3" s="1"/>
  <c r="G374" i="3"/>
  <c r="J374" i="3" s="1"/>
  <c r="F374" i="3"/>
  <c r="D374" i="3"/>
  <c r="C374" i="3"/>
  <c r="B374" i="3"/>
  <c r="H373" i="3"/>
  <c r="G373" i="3"/>
  <c r="J373" i="3" s="1"/>
  <c r="F373" i="3"/>
  <c r="D373" i="3"/>
  <c r="C373" i="3"/>
  <c r="B373" i="3"/>
  <c r="A373" i="3"/>
  <c r="G372" i="3"/>
  <c r="J372" i="3" s="1"/>
  <c r="F372" i="3"/>
  <c r="D372" i="3"/>
  <c r="C372" i="3"/>
  <c r="B372" i="3"/>
  <c r="F371" i="3"/>
  <c r="D371" i="3"/>
  <c r="C371" i="3"/>
  <c r="B371" i="3"/>
  <c r="A371" i="3"/>
  <c r="J370" i="3"/>
  <c r="G370" i="3"/>
  <c r="F370" i="3"/>
  <c r="D370" i="3"/>
  <c r="C370" i="3"/>
  <c r="B370" i="3"/>
  <c r="A370" i="3"/>
  <c r="J369" i="3"/>
  <c r="G369" i="3"/>
  <c r="F369" i="3"/>
  <c r="C369" i="3"/>
  <c r="B369" i="3"/>
  <c r="A369" i="3"/>
  <c r="G368" i="3"/>
  <c r="J368" i="3" s="1"/>
  <c r="F368" i="3"/>
  <c r="D368" i="3"/>
  <c r="C368" i="3"/>
  <c r="G367" i="3"/>
  <c r="J367" i="3" s="1"/>
  <c r="F367" i="3"/>
  <c r="D367" i="3"/>
  <c r="C367" i="3"/>
  <c r="B367" i="3"/>
  <c r="H366" i="3"/>
  <c r="F366" i="3"/>
  <c r="D366" i="3"/>
  <c r="C366" i="3"/>
  <c r="B366" i="3"/>
  <c r="J365" i="3"/>
  <c r="H365" i="3"/>
  <c r="G365" i="3"/>
  <c r="F365" i="3"/>
  <c r="D365" i="3"/>
  <c r="C365" i="3"/>
  <c r="B365" i="3"/>
  <c r="A365" i="3"/>
  <c r="G364" i="3"/>
  <c r="J364" i="3" s="1"/>
  <c r="F364" i="3"/>
  <c r="C364" i="3"/>
  <c r="H364" i="3" s="1"/>
  <c r="B364" i="3"/>
  <c r="G363" i="3"/>
  <c r="J363" i="3" s="1"/>
  <c r="F363" i="3"/>
  <c r="D363" i="3"/>
  <c r="B363" i="3"/>
  <c r="A363" i="3"/>
  <c r="J362" i="3"/>
  <c r="G362" i="3"/>
  <c r="F362" i="3"/>
  <c r="D362" i="3"/>
  <c r="C362" i="3"/>
  <c r="A362" i="3"/>
  <c r="G361" i="3"/>
  <c r="J361" i="3" s="1"/>
  <c r="F361" i="3"/>
  <c r="D361" i="3"/>
  <c r="C361" i="3"/>
  <c r="B361" i="3"/>
  <c r="H361" i="3" s="1"/>
  <c r="G360" i="3"/>
  <c r="J360" i="3" s="1"/>
  <c r="F360" i="3"/>
  <c r="D360" i="3"/>
  <c r="C360" i="3"/>
  <c r="B360" i="3"/>
  <c r="G359" i="3"/>
  <c r="J359" i="3" s="1"/>
  <c r="F359" i="3"/>
  <c r="D359" i="3"/>
  <c r="C359" i="3"/>
  <c r="B359" i="3"/>
  <c r="G358" i="3"/>
  <c r="J358" i="3" s="1"/>
  <c r="F358" i="3"/>
  <c r="D358" i="3"/>
  <c r="B358" i="3"/>
  <c r="J357" i="3"/>
  <c r="G357" i="3"/>
  <c r="F357" i="3"/>
  <c r="E357" i="3"/>
  <c r="D357" i="3"/>
  <c r="B357" i="3"/>
  <c r="G356" i="3"/>
  <c r="J356" i="3" s="1"/>
  <c r="F356" i="3"/>
  <c r="D356" i="3"/>
  <c r="C356" i="3"/>
  <c r="J355" i="3"/>
  <c r="G355" i="3"/>
  <c r="F355" i="3"/>
  <c r="D355" i="3"/>
  <c r="C355" i="3"/>
  <c r="B355" i="3"/>
  <c r="J354" i="3"/>
  <c r="G354" i="3"/>
  <c r="F354" i="3"/>
  <c r="D354" i="3"/>
  <c r="C354" i="3"/>
  <c r="B354" i="3"/>
  <c r="H354" i="3" s="1"/>
  <c r="A354" i="3"/>
  <c r="G353" i="3"/>
  <c r="J353" i="3" s="1"/>
  <c r="F353" i="3"/>
  <c r="C353" i="3"/>
  <c r="B353" i="3"/>
  <c r="H353" i="3" s="1"/>
  <c r="A353" i="3"/>
  <c r="G352" i="3"/>
  <c r="J352" i="3" s="1"/>
  <c r="D352" i="3"/>
  <c r="C352" i="3"/>
  <c r="B352" i="3"/>
  <c r="G351" i="3"/>
  <c r="J351" i="3" s="1"/>
  <c r="F351" i="3"/>
  <c r="D351" i="3"/>
  <c r="B351" i="3"/>
  <c r="G350" i="3"/>
  <c r="J350" i="3" s="1"/>
  <c r="F350" i="3"/>
  <c r="C350" i="3"/>
  <c r="B350" i="3"/>
  <c r="H350" i="3" s="1"/>
  <c r="G349" i="3"/>
  <c r="J349" i="3" s="1"/>
  <c r="F349" i="3"/>
  <c r="D349" i="3"/>
  <c r="C349" i="3"/>
  <c r="A349" i="3"/>
  <c r="G348" i="3"/>
  <c r="J348" i="3" s="1"/>
  <c r="F348" i="3"/>
  <c r="D348" i="3"/>
  <c r="C348" i="3"/>
  <c r="B348" i="3"/>
  <c r="F347" i="3"/>
  <c r="D347" i="3"/>
  <c r="C347" i="3"/>
  <c r="B347" i="3"/>
  <c r="A347" i="3"/>
  <c r="J346" i="3"/>
  <c r="G346" i="3"/>
  <c r="C346" i="3"/>
  <c r="B346" i="3"/>
  <c r="H346" i="3" s="1"/>
  <c r="A346" i="3"/>
  <c r="G345" i="3"/>
  <c r="J345" i="3" s="1"/>
  <c r="F345" i="3"/>
  <c r="C345" i="3"/>
  <c r="A345" i="3"/>
  <c r="G344" i="3"/>
  <c r="J344" i="3" s="1"/>
  <c r="F344" i="3"/>
  <c r="D344" i="3"/>
  <c r="C344" i="3"/>
  <c r="G343" i="3"/>
  <c r="J343" i="3" s="1"/>
  <c r="F343" i="3"/>
  <c r="C343" i="3"/>
  <c r="H343" i="3" s="1"/>
  <c r="B343" i="3"/>
  <c r="G342" i="3"/>
  <c r="J342" i="3" s="1"/>
  <c r="D342" i="3"/>
  <c r="C342" i="3"/>
  <c r="B342" i="3"/>
  <c r="G341" i="3"/>
  <c r="J341" i="3" s="1"/>
  <c r="F341" i="3"/>
  <c r="C341" i="3"/>
  <c r="B341" i="3"/>
  <c r="H341" i="3" s="1"/>
  <c r="G340" i="3"/>
  <c r="J340" i="3" s="1"/>
  <c r="F340" i="3"/>
  <c r="D340" i="3"/>
  <c r="C340" i="3"/>
  <c r="J339" i="3"/>
  <c r="G339" i="3"/>
  <c r="F339" i="3"/>
  <c r="D339" i="3"/>
  <c r="C339" i="3"/>
  <c r="F338" i="3"/>
  <c r="D338" i="3"/>
  <c r="C338" i="3"/>
  <c r="B338" i="3"/>
  <c r="J337" i="3"/>
  <c r="G337" i="3"/>
  <c r="F337" i="3"/>
  <c r="C337" i="3"/>
  <c r="B337" i="3"/>
  <c r="G336" i="3"/>
  <c r="J336" i="3" s="1"/>
  <c r="F336" i="3"/>
  <c r="C336" i="3"/>
  <c r="B336" i="3"/>
  <c r="F335" i="3"/>
  <c r="D335" i="3"/>
  <c r="C335" i="3"/>
  <c r="H335" i="3" s="1"/>
  <c r="B335" i="3"/>
  <c r="G334" i="3"/>
  <c r="J334" i="3" s="1"/>
  <c r="F334" i="3"/>
  <c r="C334" i="3"/>
  <c r="G333" i="3"/>
  <c r="J333" i="3" s="1"/>
  <c r="F333" i="3"/>
  <c r="D333" i="3"/>
  <c r="B333" i="3"/>
  <c r="A333" i="3"/>
  <c r="G332" i="3"/>
  <c r="J332" i="3" s="1"/>
  <c r="F332" i="3"/>
  <c r="D332" i="3"/>
  <c r="C332" i="3"/>
  <c r="J331" i="3"/>
  <c r="G331" i="3"/>
  <c r="F331" i="3"/>
  <c r="C331" i="3"/>
  <c r="H331" i="3" s="1"/>
  <c r="B331" i="3"/>
  <c r="F330" i="3"/>
  <c r="D330" i="3"/>
  <c r="C330" i="3"/>
  <c r="B330" i="3"/>
  <c r="G329" i="3"/>
  <c r="J329" i="3" s="1"/>
  <c r="F329" i="3"/>
  <c r="C329" i="3"/>
  <c r="B329" i="3"/>
  <c r="G328" i="3"/>
  <c r="J328" i="3" s="1"/>
  <c r="F328" i="3"/>
  <c r="D328" i="3"/>
  <c r="B328" i="3"/>
  <c r="F327" i="3"/>
  <c r="D327" i="3"/>
  <c r="C327" i="3"/>
  <c r="H327" i="3" s="1"/>
  <c r="B327" i="3"/>
  <c r="G326" i="3"/>
  <c r="J326" i="3" s="1"/>
  <c r="C326" i="3"/>
  <c r="B326" i="3"/>
  <c r="G325" i="3"/>
  <c r="J325" i="3" s="1"/>
  <c r="F325" i="3"/>
  <c r="D325" i="3"/>
  <c r="A325" i="3"/>
  <c r="G324" i="3"/>
  <c r="J324" i="3" s="1"/>
  <c r="F324" i="3"/>
  <c r="D324" i="3"/>
  <c r="C324" i="3"/>
  <c r="A324" i="3"/>
  <c r="G323" i="3"/>
  <c r="J323" i="3" s="1"/>
  <c r="F323" i="3"/>
  <c r="D323" i="3"/>
  <c r="C323" i="3"/>
  <c r="H323" i="3" s="1"/>
  <c r="B323" i="3"/>
  <c r="G322" i="3"/>
  <c r="J322" i="3" s="1"/>
  <c r="F322" i="3"/>
  <c r="C322" i="3"/>
  <c r="B322" i="3"/>
  <c r="G321" i="3"/>
  <c r="J321" i="3" s="1"/>
  <c r="D321" i="3"/>
  <c r="B321" i="3"/>
  <c r="F320" i="3"/>
  <c r="D320" i="3"/>
  <c r="C320" i="3"/>
  <c r="G319" i="3"/>
  <c r="J319" i="3" s="1"/>
  <c r="F319" i="3"/>
  <c r="D319" i="3"/>
  <c r="H318" i="3"/>
  <c r="G318" i="3"/>
  <c r="J318" i="3" s="1"/>
  <c r="D318" i="3"/>
  <c r="C318" i="3"/>
  <c r="B318" i="3"/>
  <c r="F317" i="3"/>
  <c r="C317" i="3"/>
  <c r="B317" i="3"/>
  <c r="H317" i="3" s="1"/>
  <c r="J316" i="3"/>
  <c r="G316" i="3"/>
  <c r="F316" i="3"/>
  <c r="D316" i="3"/>
  <c r="A316" i="3"/>
  <c r="G315" i="3"/>
  <c r="J315" i="3" s="1"/>
  <c r="F315" i="3"/>
  <c r="D315" i="3"/>
  <c r="C315" i="3"/>
  <c r="H315" i="3" s="1"/>
  <c r="B315" i="3"/>
  <c r="G314" i="3"/>
  <c r="J314" i="3" s="1"/>
  <c r="F314" i="3"/>
  <c r="C314" i="3"/>
  <c r="B314" i="3"/>
  <c r="A314" i="3"/>
  <c r="G313" i="3"/>
  <c r="J313" i="3" s="1"/>
  <c r="D313" i="3"/>
  <c r="C313" i="3"/>
  <c r="B313" i="3"/>
  <c r="H313" i="3" s="1"/>
  <c r="G312" i="3"/>
  <c r="J312" i="3" s="1"/>
  <c r="D312" i="3"/>
  <c r="C312" i="3"/>
  <c r="G311" i="3"/>
  <c r="J311" i="3" s="1"/>
  <c r="F311" i="3"/>
  <c r="D311" i="3"/>
  <c r="G310" i="3"/>
  <c r="J310" i="3" s="1"/>
  <c r="D310" i="3"/>
  <c r="C310" i="3"/>
  <c r="B310" i="3"/>
  <c r="H310" i="3" s="1"/>
  <c r="G309" i="3"/>
  <c r="J309" i="3" s="1"/>
  <c r="F309" i="3"/>
  <c r="D309" i="3"/>
  <c r="B309" i="3"/>
  <c r="F308" i="3"/>
  <c r="D308" i="3"/>
  <c r="C308" i="3"/>
  <c r="H308" i="3" s="1"/>
  <c r="B308" i="3"/>
  <c r="F307" i="3"/>
  <c r="C307" i="3"/>
  <c r="H307" i="3" s="1"/>
  <c r="B307" i="3"/>
  <c r="J306" i="3"/>
  <c r="G306" i="3"/>
  <c r="F306" i="3"/>
  <c r="D306" i="3"/>
  <c r="G305" i="3"/>
  <c r="J305" i="3" s="1"/>
  <c r="F305" i="3"/>
  <c r="D305" i="3"/>
  <c r="C305" i="3"/>
  <c r="B305" i="3"/>
  <c r="H305" i="3" s="1"/>
  <c r="A305" i="3"/>
  <c r="D304" i="3"/>
  <c r="B304" i="3"/>
  <c r="G303" i="3"/>
  <c r="J303" i="3" s="1"/>
  <c r="F303" i="3"/>
  <c r="C303" i="3"/>
  <c r="G302" i="3"/>
  <c r="J302" i="3" s="1"/>
  <c r="F302" i="3"/>
  <c r="D302" i="3"/>
  <c r="C302" i="3"/>
  <c r="F301" i="3"/>
  <c r="D301" i="3"/>
  <c r="C301" i="3"/>
  <c r="G300" i="3"/>
  <c r="J300" i="3" s="1"/>
  <c r="F300" i="3"/>
  <c r="C300" i="3"/>
  <c r="B300" i="3"/>
  <c r="F299" i="3"/>
  <c r="C299" i="3"/>
  <c r="H299" i="3" s="1"/>
  <c r="B299" i="3"/>
  <c r="G298" i="3"/>
  <c r="J298" i="3" s="1"/>
  <c r="F298" i="3"/>
  <c r="C298" i="3"/>
  <c r="B298" i="3"/>
  <c r="F297" i="3"/>
  <c r="C297" i="3"/>
  <c r="G296" i="3"/>
  <c r="J296" i="3" s="1"/>
  <c r="F296" i="3"/>
  <c r="D296" i="3"/>
  <c r="C296" i="3"/>
  <c r="B296" i="3"/>
  <c r="C295" i="3"/>
  <c r="B295" i="3"/>
  <c r="H295" i="3" s="1"/>
  <c r="G294" i="3"/>
  <c r="J294" i="3" s="1"/>
  <c r="F294" i="3"/>
  <c r="D294" i="3"/>
  <c r="G293" i="3"/>
  <c r="J293" i="3" s="1"/>
  <c r="F293" i="3"/>
  <c r="D293" i="3"/>
  <c r="C293" i="3"/>
  <c r="F292" i="3"/>
  <c r="C292" i="3"/>
  <c r="B292" i="3"/>
  <c r="G291" i="3"/>
  <c r="J291" i="3" s="1"/>
  <c r="F291" i="3"/>
  <c r="C291" i="3"/>
  <c r="B291" i="3"/>
  <c r="G290" i="3"/>
  <c r="J290" i="3" s="1"/>
  <c r="D290" i="3"/>
  <c r="C290" i="3"/>
  <c r="G289" i="3"/>
  <c r="J289" i="3" s="1"/>
  <c r="F289" i="3"/>
  <c r="D289" i="3"/>
  <c r="G288" i="3"/>
  <c r="J288" i="3" s="1"/>
  <c r="F288" i="3"/>
  <c r="D288" i="3"/>
  <c r="B288" i="3"/>
  <c r="G287" i="3"/>
  <c r="J287" i="3" s="1"/>
  <c r="D287" i="3"/>
  <c r="C287" i="3"/>
  <c r="G286" i="3"/>
  <c r="J286" i="3" s="1"/>
  <c r="D286" i="3"/>
  <c r="B286" i="3"/>
  <c r="G285" i="3"/>
  <c r="J285" i="3" s="1"/>
  <c r="D285" i="3"/>
  <c r="B285" i="3"/>
  <c r="G284" i="3"/>
  <c r="J284" i="3" s="1"/>
  <c r="F284" i="3"/>
  <c r="D284" i="3"/>
  <c r="C284" i="3"/>
  <c r="G283" i="3"/>
  <c r="J283" i="3" s="1"/>
  <c r="F283" i="3"/>
  <c r="D283" i="3"/>
  <c r="C283" i="3"/>
  <c r="B283" i="3"/>
  <c r="H283" i="3" s="1"/>
  <c r="J282" i="3"/>
  <c r="G282" i="3"/>
  <c r="C282" i="3"/>
  <c r="B282" i="3"/>
  <c r="H282" i="3" s="1"/>
  <c r="J281" i="3"/>
  <c r="G281" i="3"/>
  <c r="F281" i="3"/>
  <c r="D281" i="3"/>
  <c r="B281" i="3"/>
  <c r="F280" i="3"/>
  <c r="C280" i="3"/>
  <c r="B280" i="3"/>
  <c r="G279" i="3"/>
  <c r="J279" i="3" s="1"/>
  <c r="D279" i="3"/>
  <c r="C279" i="3"/>
  <c r="G278" i="3"/>
  <c r="J278" i="3" s="1"/>
  <c r="F278" i="3"/>
  <c r="D278" i="3"/>
  <c r="B278" i="3"/>
  <c r="F277" i="3"/>
  <c r="D277" i="3"/>
  <c r="C277" i="3"/>
  <c r="G276" i="3"/>
  <c r="J276" i="3" s="1"/>
  <c r="F276" i="3"/>
  <c r="D276" i="3"/>
  <c r="B276" i="3"/>
  <c r="F275" i="3"/>
  <c r="D275" i="3"/>
  <c r="B275" i="3"/>
  <c r="F274" i="3"/>
  <c r="C274" i="3"/>
  <c r="B274" i="3"/>
  <c r="H274" i="3" s="1"/>
  <c r="J273" i="3"/>
  <c r="G273" i="3"/>
  <c r="F273" i="3"/>
  <c r="E273" i="3"/>
  <c r="B273" i="3"/>
  <c r="G272" i="3"/>
  <c r="J272" i="3" s="1"/>
  <c r="F272" i="3"/>
  <c r="D272" i="3"/>
  <c r="C272" i="3"/>
  <c r="C271" i="3"/>
  <c r="B271" i="3"/>
  <c r="G270" i="3"/>
  <c r="J270" i="3" s="1"/>
  <c r="F270" i="3"/>
  <c r="D270" i="3"/>
  <c r="B270" i="3"/>
  <c r="G269" i="3"/>
  <c r="J269" i="3" s="1"/>
  <c r="F269" i="3"/>
  <c r="D269" i="3"/>
  <c r="C269" i="3"/>
  <c r="A269" i="3"/>
  <c r="F268" i="3"/>
  <c r="C268" i="3"/>
  <c r="G267" i="3"/>
  <c r="J267" i="3" s="1"/>
  <c r="F267" i="3"/>
  <c r="D267" i="3"/>
  <c r="D266" i="3"/>
  <c r="C266" i="3"/>
  <c r="F265" i="3"/>
  <c r="D265" i="3"/>
  <c r="F264" i="3"/>
  <c r="D264" i="3"/>
  <c r="C264" i="3"/>
  <c r="G263" i="3"/>
  <c r="J263" i="3" s="1"/>
  <c r="D263" i="3"/>
  <c r="C263" i="3"/>
  <c r="H263" i="3" s="1"/>
  <c r="B263" i="3"/>
  <c r="G262" i="3"/>
  <c r="J262" i="3" s="1"/>
  <c r="F262" i="3"/>
  <c r="B262" i="3"/>
  <c r="J261" i="3"/>
  <c r="G261" i="3"/>
  <c r="F261" i="3"/>
  <c r="C261" i="3"/>
  <c r="G260" i="3"/>
  <c r="J260" i="3" s="1"/>
  <c r="F260" i="3"/>
  <c r="D260" i="3"/>
  <c r="C260" i="3"/>
  <c r="A260" i="3"/>
  <c r="D259" i="3"/>
  <c r="C259" i="3"/>
  <c r="G258" i="3"/>
  <c r="J258" i="3" s="1"/>
  <c r="D258" i="3"/>
  <c r="G257" i="3"/>
  <c r="J257" i="3" s="1"/>
  <c r="F257" i="3"/>
  <c r="B257" i="3"/>
  <c r="G256" i="3"/>
  <c r="J256" i="3" s="1"/>
  <c r="D256" i="3"/>
  <c r="G255" i="3"/>
  <c r="J255" i="3" s="1"/>
  <c r="F255" i="3"/>
  <c r="D255" i="3"/>
  <c r="G254" i="3"/>
  <c r="J254" i="3" s="1"/>
  <c r="F254" i="3"/>
  <c r="B254" i="3"/>
  <c r="G253" i="3"/>
  <c r="J253" i="3" s="1"/>
  <c r="F253" i="3"/>
  <c r="F252" i="3"/>
  <c r="D252" i="3"/>
  <c r="G251" i="3"/>
  <c r="J251" i="3" s="1"/>
  <c r="F251" i="3"/>
  <c r="D251" i="3"/>
  <c r="D250" i="3"/>
  <c r="B250" i="3"/>
  <c r="J249" i="3"/>
  <c r="G249" i="3"/>
  <c r="G248" i="3"/>
  <c r="J248" i="3" s="1"/>
  <c r="F248" i="3"/>
  <c r="F247" i="3"/>
  <c r="B247" i="3"/>
  <c r="G246" i="3"/>
  <c r="J246" i="3" s="1"/>
  <c r="F246" i="3"/>
  <c r="D246" i="3"/>
  <c r="G245" i="3"/>
  <c r="J245" i="3" s="1"/>
  <c r="F245" i="3"/>
  <c r="B245" i="3"/>
  <c r="G244" i="3"/>
  <c r="J244" i="3" s="1"/>
  <c r="F244" i="3"/>
  <c r="G243" i="3"/>
  <c r="J243" i="3" s="1"/>
  <c r="F243" i="3"/>
  <c r="D243" i="3"/>
  <c r="B243" i="3"/>
  <c r="G242" i="3"/>
  <c r="J242" i="3" s="1"/>
  <c r="F242" i="3"/>
  <c r="B242" i="3"/>
  <c r="J241" i="3"/>
  <c r="G241" i="3"/>
  <c r="B241" i="3"/>
  <c r="G240" i="3"/>
  <c r="J240" i="3" s="1"/>
  <c r="F240" i="3"/>
  <c r="D240" i="3"/>
  <c r="B240" i="3"/>
  <c r="G239" i="3"/>
  <c r="J239" i="3" s="1"/>
  <c r="D239" i="3"/>
  <c r="G238" i="3"/>
  <c r="J238" i="3" s="1"/>
  <c r="F238" i="3"/>
  <c r="D238" i="3"/>
  <c r="G237" i="3"/>
  <c r="J237" i="3" s="1"/>
  <c r="D237" i="3"/>
  <c r="G236" i="3"/>
  <c r="J236" i="3" s="1"/>
  <c r="F236" i="3"/>
  <c r="G235" i="3"/>
  <c r="J235" i="3" s="1"/>
  <c r="F235" i="3"/>
  <c r="E235" i="3"/>
  <c r="B235" i="3"/>
  <c r="G234" i="3"/>
  <c r="J234" i="3" s="1"/>
  <c r="F234" i="3"/>
  <c r="D234" i="3"/>
  <c r="C234" i="3"/>
  <c r="B234" i="3"/>
  <c r="D233" i="3"/>
  <c r="B233" i="3"/>
  <c r="F232" i="3"/>
  <c r="D232" i="3"/>
  <c r="B232" i="3"/>
  <c r="F231" i="3"/>
  <c r="D231" i="3"/>
  <c r="G230" i="3"/>
  <c r="J230" i="3" s="1"/>
  <c r="F230" i="3"/>
  <c r="D230" i="3"/>
  <c r="A230" i="3"/>
  <c r="J229" i="3"/>
  <c r="G229" i="3"/>
  <c r="F229" i="3"/>
  <c r="D229" i="3"/>
  <c r="C229" i="3"/>
  <c r="A229" i="3"/>
  <c r="G228" i="3"/>
  <c r="J228" i="3" s="1"/>
  <c r="F228" i="3"/>
  <c r="B228" i="3"/>
  <c r="F227" i="3"/>
  <c r="B227" i="3"/>
  <c r="B226" i="3"/>
  <c r="A226" i="3"/>
  <c r="F225" i="3"/>
  <c r="D225" i="3"/>
  <c r="F224" i="3"/>
  <c r="D224" i="3"/>
  <c r="C224" i="3"/>
  <c r="B224" i="3"/>
  <c r="G223" i="3"/>
  <c r="J223" i="3" s="1"/>
  <c r="D223" i="3"/>
  <c r="A223" i="3"/>
  <c r="G222" i="3"/>
  <c r="J222" i="3" s="1"/>
  <c r="F222" i="3"/>
  <c r="D222" i="3"/>
  <c r="F221" i="3"/>
  <c r="B221" i="3"/>
  <c r="G220" i="3"/>
  <c r="J220" i="3" s="1"/>
  <c r="F220" i="3"/>
  <c r="B220" i="3"/>
  <c r="J219" i="3"/>
  <c r="G219" i="3"/>
  <c r="B219" i="3"/>
  <c r="A219" i="3"/>
  <c r="F218" i="3"/>
  <c r="F217" i="3"/>
  <c r="D217" i="3"/>
  <c r="B217" i="3"/>
  <c r="F216" i="3"/>
  <c r="E216" i="3"/>
  <c r="D216" i="3"/>
  <c r="G215" i="3"/>
  <c r="J215" i="3" s="1"/>
  <c r="C215" i="3"/>
  <c r="G214" i="3"/>
  <c r="J214" i="3" s="1"/>
  <c r="F214" i="3"/>
  <c r="D214" i="3"/>
  <c r="D213" i="3"/>
  <c r="C213" i="3"/>
  <c r="B213" i="3"/>
  <c r="F212" i="3"/>
  <c r="D212" i="3"/>
  <c r="F211" i="3"/>
  <c r="D211" i="3"/>
  <c r="G210" i="3"/>
  <c r="J210" i="3" s="1"/>
  <c r="B210" i="3"/>
  <c r="A210" i="3"/>
  <c r="F209" i="3"/>
  <c r="G208" i="3"/>
  <c r="J208" i="3" s="1"/>
  <c r="F208" i="3"/>
  <c r="J207" i="3"/>
  <c r="G207" i="3"/>
  <c r="F207" i="3"/>
  <c r="D207" i="3"/>
  <c r="C207" i="3"/>
  <c r="F206" i="3"/>
  <c r="D206" i="3"/>
  <c r="A206" i="3"/>
  <c r="F205" i="3"/>
  <c r="B205" i="3"/>
  <c r="G204" i="3"/>
  <c r="J204" i="3" s="1"/>
  <c r="F204" i="3"/>
  <c r="D204" i="3"/>
  <c r="B204" i="3"/>
  <c r="G203" i="3"/>
  <c r="J203" i="3" s="1"/>
  <c r="F203" i="3"/>
  <c r="F202" i="3"/>
  <c r="D202" i="3"/>
  <c r="G201" i="3"/>
  <c r="J201" i="3" s="1"/>
  <c r="F201" i="3"/>
  <c r="B201" i="3"/>
  <c r="G200" i="3"/>
  <c r="J200" i="3" s="1"/>
  <c r="F199" i="3"/>
  <c r="D199" i="3"/>
  <c r="F198" i="3"/>
  <c r="B198" i="3"/>
  <c r="J197" i="3"/>
  <c r="G197" i="3"/>
  <c r="B197" i="3"/>
  <c r="F196" i="3"/>
  <c r="D196" i="3"/>
  <c r="C196" i="3"/>
  <c r="B196" i="3"/>
  <c r="G194" i="3"/>
  <c r="J194" i="3" s="1"/>
  <c r="F194" i="3"/>
  <c r="G193" i="3"/>
  <c r="J193" i="3" s="1"/>
  <c r="F193" i="3"/>
  <c r="G192" i="3"/>
  <c r="J192" i="3" s="1"/>
  <c r="D191" i="3"/>
  <c r="C191" i="3"/>
  <c r="F190" i="3"/>
  <c r="D190" i="3"/>
  <c r="G189" i="3"/>
  <c r="J189" i="3" s="1"/>
  <c r="F189" i="3"/>
  <c r="B189" i="3"/>
  <c r="F188" i="3"/>
  <c r="D188" i="3"/>
  <c r="G187" i="3"/>
  <c r="J187" i="3" s="1"/>
  <c r="F187" i="3"/>
  <c r="E187" i="3"/>
  <c r="D187" i="3"/>
  <c r="B187" i="3"/>
  <c r="G186" i="3"/>
  <c r="J186" i="3" s="1"/>
  <c r="F186" i="3"/>
  <c r="B186" i="3"/>
  <c r="G185" i="3"/>
  <c r="J185" i="3" s="1"/>
  <c r="F185" i="3"/>
  <c r="G184" i="3"/>
  <c r="J184" i="3" s="1"/>
  <c r="F184" i="3"/>
  <c r="B184" i="3"/>
  <c r="G183" i="3"/>
  <c r="J183" i="3" s="1"/>
  <c r="G182" i="3"/>
  <c r="J182" i="3" s="1"/>
  <c r="D182" i="3"/>
  <c r="F181" i="3"/>
  <c r="B181" i="3"/>
  <c r="B180" i="3"/>
  <c r="A180" i="3"/>
  <c r="G179" i="3"/>
  <c r="E179" i="3"/>
  <c r="B179" i="3"/>
  <c r="H178" i="3"/>
  <c r="H177" i="3"/>
  <c r="F176" i="3"/>
  <c r="C176" i="3"/>
  <c r="C175" i="3"/>
  <c r="B175" i="3"/>
  <c r="H175" i="3" s="1"/>
  <c r="C174" i="3"/>
  <c r="E173" i="3"/>
  <c r="C173" i="3"/>
  <c r="C172" i="3"/>
  <c r="C171" i="3"/>
  <c r="C170" i="3"/>
  <c r="C169" i="3"/>
  <c r="F168" i="3"/>
  <c r="C168" i="3"/>
  <c r="D164" i="3"/>
  <c r="G159" i="3"/>
  <c r="J159" i="3" s="1"/>
  <c r="B156" i="3"/>
  <c r="C155" i="3"/>
  <c r="D148" i="3"/>
  <c r="B148" i="3"/>
  <c r="G140" i="3"/>
  <c r="J140" i="3" s="1"/>
  <c r="C136" i="3"/>
  <c r="C133" i="3"/>
  <c r="F131" i="3"/>
  <c r="B130" i="3"/>
  <c r="D129" i="3"/>
  <c r="C125" i="3"/>
  <c r="G124" i="3"/>
  <c r="J124" i="3" s="1"/>
  <c r="E122" i="3"/>
  <c r="C120" i="3"/>
  <c r="E119" i="3"/>
  <c r="B114" i="3"/>
  <c r="G113" i="3"/>
  <c r="J113" i="3" s="1"/>
  <c r="D113" i="3"/>
  <c r="C111" i="3"/>
  <c r="F106" i="3"/>
  <c r="F105" i="3"/>
  <c r="F103" i="3"/>
  <c r="F99" i="3"/>
  <c r="F95" i="3"/>
  <c r="C95" i="3"/>
  <c r="F90" i="3"/>
  <c r="C87" i="3"/>
  <c r="F83" i="3"/>
  <c r="F79" i="3"/>
  <c r="C77" i="3"/>
  <c r="F76" i="3"/>
  <c r="F75" i="3"/>
  <c r="C73" i="3"/>
  <c r="C69" i="3"/>
  <c r="G68" i="3"/>
  <c r="J68" i="3" s="1"/>
  <c r="F60" i="3"/>
  <c r="F59" i="3"/>
  <c r="C55" i="3"/>
  <c r="D51" i="3"/>
  <c r="G50" i="3"/>
  <c r="J50" i="3" s="1"/>
  <c r="C50" i="3"/>
  <c r="G46" i="3"/>
  <c r="J46" i="3" s="1"/>
  <c r="E43" i="3"/>
  <c r="G42" i="3"/>
  <c r="J42" i="3" s="1"/>
  <c r="D42" i="3"/>
  <c r="D39" i="3"/>
  <c r="G34" i="3"/>
  <c r="J34" i="3" s="1"/>
  <c r="D34" i="3"/>
  <c r="D26" i="3"/>
  <c r="E25" i="3"/>
  <c r="D18" i="3"/>
  <c r="G14" i="3"/>
  <c r="J14" i="3" s="1"/>
  <c r="G173" i="2"/>
  <c r="F177" i="5" s="1"/>
  <c r="F173" i="2"/>
  <c r="E177" i="5" s="1"/>
  <c r="E173" i="2"/>
  <c r="D177" i="5" s="1"/>
  <c r="D173" i="2"/>
  <c r="C177" i="5" s="1"/>
  <c r="A173" i="2"/>
  <c r="A177" i="5" s="1"/>
  <c r="G172" i="2"/>
  <c r="F176" i="5" s="1"/>
  <c r="F172" i="2"/>
  <c r="E176" i="5" s="1"/>
  <c r="E172" i="2"/>
  <c r="D176" i="5" s="1"/>
  <c r="D172" i="2"/>
  <c r="C176" i="5" s="1"/>
  <c r="A172" i="2"/>
  <c r="A176" i="5" s="1"/>
  <c r="G171" i="2"/>
  <c r="F175" i="5" s="1"/>
  <c r="F171" i="2"/>
  <c r="E175" i="5" s="1"/>
  <c r="E171" i="2"/>
  <c r="D175" i="5" s="1"/>
  <c r="D171" i="2"/>
  <c r="C175" i="5" s="1"/>
  <c r="B171" i="2"/>
  <c r="A171" i="2"/>
  <c r="A175" i="5" s="1"/>
  <c r="G170" i="2"/>
  <c r="F170" i="2"/>
  <c r="E174" i="5" s="1"/>
  <c r="E170" i="2"/>
  <c r="D170" i="2"/>
  <c r="A170" i="2"/>
  <c r="G169" i="2"/>
  <c r="F173" i="5" s="1"/>
  <c r="F169" i="2"/>
  <c r="E173" i="5" s="1"/>
  <c r="E169" i="2"/>
  <c r="D173" i="5" s="1"/>
  <c r="D169" i="2"/>
  <c r="A169" i="2"/>
  <c r="A173" i="5" s="1"/>
  <c r="G168" i="2"/>
  <c r="F168" i="2"/>
  <c r="E168" i="2"/>
  <c r="D168" i="2"/>
  <c r="C172" i="5" s="1"/>
  <c r="A168" i="2"/>
  <c r="G167" i="2"/>
  <c r="F167" i="2"/>
  <c r="E167" i="2"/>
  <c r="D171" i="5" s="1"/>
  <c r="D167" i="2"/>
  <c r="C171" i="5" s="1"/>
  <c r="A167" i="2"/>
  <c r="B177" i="1" s="1"/>
  <c r="H177" i="1" s="1"/>
  <c r="G166" i="2"/>
  <c r="F170" i="5" s="1"/>
  <c r="F166" i="2"/>
  <c r="E166" i="2"/>
  <c r="D166" i="2"/>
  <c r="C170" i="5" s="1"/>
  <c r="A166" i="2"/>
  <c r="G165" i="2"/>
  <c r="F165" i="2"/>
  <c r="E169" i="5" s="1"/>
  <c r="E165" i="2"/>
  <c r="D165" i="2"/>
  <c r="B165" i="2"/>
  <c r="A165" i="2"/>
  <c r="A169" i="5" s="1"/>
  <c r="G164" i="2"/>
  <c r="F164" i="2"/>
  <c r="E164" i="2"/>
  <c r="D168" i="5" s="1"/>
  <c r="D164" i="2"/>
  <c r="A164" i="2"/>
  <c r="A168" i="5" s="1"/>
  <c r="G163" i="2"/>
  <c r="F167" i="5" s="1"/>
  <c r="F163" i="2"/>
  <c r="E163" i="2"/>
  <c r="D163" i="2"/>
  <c r="C167" i="5" s="1"/>
  <c r="A163" i="2"/>
  <c r="G162" i="2"/>
  <c r="F166" i="5" s="1"/>
  <c r="F162" i="2"/>
  <c r="E166" i="5" s="1"/>
  <c r="E162" i="2"/>
  <c r="E172" i="1" s="1"/>
  <c r="D162" i="2"/>
  <c r="A162" i="2"/>
  <c r="G161" i="2"/>
  <c r="F165" i="5" s="1"/>
  <c r="F161" i="2"/>
  <c r="E161" i="2"/>
  <c r="D165" i="5" s="1"/>
  <c r="D161" i="2"/>
  <c r="C161" i="2"/>
  <c r="B161" i="2"/>
  <c r="A161" i="2"/>
  <c r="G160" i="2"/>
  <c r="F160" i="2"/>
  <c r="E164" i="5" s="1"/>
  <c r="E160" i="2"/>
  <c r="D160" i="2"/>
  <c r="C164" i="5" s="1"/>
  <c r="C160" i="2"/>
  <c r="B160" i="2"/>
  <c r="A160" i="2"/>
  <c r="B170" i="1" s="1"/>
  <c r="G159" i="2"/>
  <c r="F159" i="2"/>
  <c r="E159" i="2"/>
  <c r="D163" i="5" s="1"/>
  <c r="D159" i="2"/>
  <c r="C159" i="2"/>
  <c r="B163" i="5" s="1"/>
  <c r="B159" i="2"/>
  <c r="A159" i="2"/>
  <c r="G158" i="2"/>
  <c r="F158" i="2"/>
  <c r="F168" i="1" s="1"/>
  <c r="E158" i="2"/>
  <c r="D158" i="2"/>
  <c r="C162" i="5" s="1"/>
  <c r="C158" i="2"/>
  <c r="B158" i="2"/>
  <c r="A158" i="2"/>
  <c r="A162" i="5" s="1"/>
  <c r="G157" i="2"/>
  <c r="F157" i="2"/>
  <c r="E161" i="5" s="1"/>
  <c r="E157" i="2"/>
  <c r="E167" i="1" s="1"/>
  <c r="D157" i="2"/>
  <c r="C157" i="2"/>
  <c r="B161" i="5" s="1"/>
  <c r="B157" i="2"/>
  <c r="A157" i="2"/>
  <c r="G156" i="2"/>
  <c r="F156" i="2"/>
  <c r="E156" i="2"/>
  <c r="E166" i="1" s="1"/>
  <c r="D156" i="2"/>
  <c r="D166" i="1" s="1"/>
  <c r="C156" i="2"/>
  <c r="B156" i="2"/>
  <c r="A156" i="2"/>
  <c r="G155" i="2"/>
  <c r="F159" i="5" s="1"/>
  <c r="F155" i="2"/>
  <c r="E155" i="2"/>
  <c r="D155" i="2"/>
  <c r="C159" i="5" s="1"/>
  <c r="C155" i="2"/>
  <c r="B155" i="2"/>
  <c r="A155" i="2"/>
  <c r="G154" i="2"/>
  <c r="F154" i="2"/>
  <c r="E158" i="5" s="1"/>
  <c r="E154" i="2"/>
  <c r="D154" i="2"/>
  <c r="C154" i="2"/>
  <c r="C164" i="1" s="1"/>
  <c r="B154" i="2"/>
  <c r="A154" i="2"/>
  <c r="G153" i="2"/>
  <c r="F157" i="5" s="1"/>
  <c r="F153" i="2"/>
  <c r="E153" i="2"/>
  <c r="D157" i="5" s="1"/>
  <c r="D153" i="2"/>
  <c r="C153" i="2"/>
  <c r="B153" i="2"/>
  <c r="A153" i="2"/>
  <c r="G152" i="2"/>
  <c r="F152" i="2"/>
  <c r="E156" i="5" s="1"/>
  <c r="E152" i="2"/>
  <c r="D152" i="2"/>
  <c r="C156" i="5" s="1"/>
  <c r="C152" i="2"/>
  <c r="B152" i="2"/>
  <c r="A152" i="2"/>
  <c r="G151" i="2"/>
  <c r="F151" i="2"/>
  <c r="E151" i="2"/>
  <c r="D155" i="5" s="1"/>
  <c r="D151" i="2"/>
  <c r="C151" i="2"/>
  <c r="B155" i="5" s="1"/>
  <c r="B151" i="2"/>
  <c r="A151" i="2"/>
  <c r="G150" i="2"/>
  <c r="F154" i="5" s="1"/>
  <c r="F150" i="2"/>
  <c r="F160" i="1" s="1"/>
  <c r="E150" i="2"/>
  <c r="D150" i="2"/>
  <c r="C154" i="5" s="1"/>
  <c r="C150" i="2"/>
  <c r="B150" i="2"/>
  <c r="A150" i="2"/>
  <c r="A154" i="5" s="1"/>
  <c r="G149" i="2"/>
  <c r="F149" i="2"/>
  <c r="F159" i="1" s="1"/>
  <c r="E149" i="2"/>
  <c r="E159" i="1" s="1"/>
  <c r="D149" i="2"/>
  <c r="C149" i="2"/>
  <c r="B153" i="5" s="1"/>
  <c r="B149" i="2"/>
  <c r="A149" i="2"/>
  <c r="G148" i="2"/>
  <c r="F148" i="2"/>
  <c r="E148" i="2"/>
  <c r="D152" i="5" s="1"/>
  <c r="D148" i="2"/>
  <c r="D158" i="1" s="1"/>
  <c r="C148" i="2"/>
  <c r="B148" i="2"/>
  <c r="A148" i="2"/>
  <c r="G147" i="2"/>
  <c r="F151" i="5" s="1"/>
  <c r="F147" i="2"/>
  <c r="E147" i="2"/>
  <c r="D147" i="2"/>
  <c r="C147" i="2"/>
  <c r="B147" i="2"/>
  <c r="A147" i="2"/>
  <c r="G146" i="2"/>
  <c r="F146" i="2"/>
  <c r="E150" i="5" s="1"/>
  <c r="E146" i="2"/>
  <c r="D146" i="2"/>
  <c r="C146" i="2"/>
  <c r="B150" i="5" s="1"/>
  <c r="B146" i="2"/>
  <c r="A146" i="2"/>
  <c r="G145" i="2"/>
  <c r="F149" i="5" s="1"/>
  <c r="F145" i="2"/>
  <c r="E145" i="2"/>
  <c r="D149" i="5" s="1"/>
  <c r="D145" i="2"/>
  <c r="D151" i="3" s="1"/>
  <c r="C145" i="2"/>
  <c r="B145" i="2"/>
  <c r="A145" i="2"/>
  <c r="G144" i="2"/>
  <c r="F144" i="2"/>
  <c r="E148" i="5" s="1"/>
  <c r="E144" i="2"/>
  <c r="D144" i="2"/>
  <c r="C148" i="5" s="1"/>
  <c r="C144" i="2"/>
  <c r="B144" i="2"/>
  <c r="A144" i="2"/>
  <c r="B154" i="1" s="1"/>
  <c r="G143" i="2"/>
  <c r="F143" i="2"/>
  <c r="E143" i="2"/>
  <c r="D147" i="5" s="1"/>
  <c r="D143" i="2"/>
  <c r="C143" i="2"/>
  <c r="B147" i="5" s="1"/>
  <c r="B143" i="2"/>
  <c r="A143" i="2"/>
  <c r="G142" i="2"/>
  <c r="G152" i="1" s="1"/>
  <c r="J152" i="1" s="1"/>
  <c r="F142" i="2"/>
  <c r="F152" i="1" s="1"/>
  <c r="E142" i="2"/>
  <c r="D142" i="2"/>
  <c r="C146" i="5" s="1"/>
  <c r="C142" i="2"/>
  <c r="B142" i="2"/>
  <c r="A142" i="2"/>
  <c r="A146" i="5" s="1"/>
  <c r="G141" i="2"/>
  <c r="F141" i="2"/>
  <c r="E145" i="5" s="1"/>
  <c r="E141" i="2"/>
  <c r="E151" i="1" s="1"/>
  <c r="D141" i="2"/>
  <c r="C141" i="2"/>
  <c r="B145" i="5" s="1"/>
  <c r="B141" i="2"/>
  <c r="A141" i="2"/>
  <c r="G140" i="2"/>
  <c r="F140" i="2"/>
  <c r="E140" i="2"/>
  <c r="D140" i="2"/>
  <c r="D150" i="1" s="1"/>
  <c r="C140" i="2"/>
  <c r="B140" i="2"/>
  <c r="A140" i="2"/>
  <c r="G139" i="2"/>
  <c r="F143" i="5" s="1"/>
  <c r="F139" i="2"/>
  <c r="E139" i="2"/>
  <c r="D139" i="2"/>
  <c r="C143" i="5" s="1"/>
  <c r="C139" i="2"/>
  <c r="B139" i="2"/>
  <c r="A139" i="2"/>
  <c r="G138" i="2"/>
  <c r="F138" i="2"/>
  <c r="E142" i="5" s="1"/>
  <c r="E138" i="2"/>
  <c r="D138" i="2"/>
  <c r="C138" i="2"/>
  <c r="C148" i="1" s="1"/>
  <c r="A138" i="2"/>
  <c r="B148" i="1" s="1"/>
  <c r="G137" i="2"/>
  <c r="F141" i="5" s="1"/>
  <c r="F137" i="2"/>
  <c r="E141" i="5" s="1"/>
  <c r="E137" i="2"/>
  <c r="D141" i="5" s="1"/>
  <c r="D137" i="2"/>
  <c r="C137" i="2"/>
  <c r="B137" i="2"/>
  <c r="A137" i="2"/>
  <c r="A141" i="5" s="1"/>
  <c r="G136" i="2"/>
  <c r="F136" i="2"/>
  <c r="E140" i="5" s="1"/>
  <c r="E136" i="2"/>
  <c r="D140" i="5" s="1"/>
  <c r="D136" i="2"/>
  <c r="C140" i="5" s="1"/>
  <c r="C136" i="2"/>
  <c r="B136" i="2"/>
  <c r="A136" i="2"/>
  <c r="G135" i="2"/>
  <c r="F135" i="2"/>
  <c r="F145" i="1" s="1"/>
  <c r="E135" i="2"/>
  <c r="D139" i="5" s="1"/>
  <c r="D135" i="2"/>
  <c r="C139" i="5" s="1"/>
  <c r="C135" i="2"/>
  <c r="B139" i="5" s="1"/>
  <c r="B135" i="2"/>
  <c r="A135" i="2"/>
  <c r="G134" i="2"/>
  <c r="F138" i="5" s="1"/>
  <c r="F134" i="2"/>
  <c r="E134" i="2"/>
  <c r="E144" i="1" s="1"/>
  <c r="D134" i="2"/>
  <c r="C138" i="5" s="1"/>
  <c r="C134" i="2"/>
  <c r="B138" i="5" s="1"/>
  <c r="B134" i="2"/>
  <c r="A134" i="2"/>
  <c r="A138" i="5" s="1"/>
  <c r="G133" i="2"/>
  <c r="F133" i="2"/>
  <c r="E137" i="5" s="1"/>
  <c r="E133" i="2"/>
  <c r="D133" i="2"/>
  <c r="D143" i="1" s="1"/>
  <c r="C133" i="2"/>
  <c r="B137" i="5" s="1"/>
  <c r="B133" i="2"/>
  <c r="A133" i="2"/>
  <c r="G132" i="2"/>
  <c r="F132" i="2"/>
  <c r="E132" i="2"/>
  <c r="D136" i="5" s="1"/>
  <c r="D132" i="2"/>
  <c r="C132" i="2"/>
  <c r="B132" i="2"/>
  <c r="A132" i="2"/>
  <c r="A136" i="5" s="1"/>
  <c r="G131" i="2"/>
  <c r="F135" i="5" s="1"/>
  <c r="F131" i="2"/>
  <c r="E131" i="2"/>
  <c r="D131" i="2"/>
  <c r="C135" i="5" s="1"/>
  <c r="C131" i="2"/>
  <c r="C141" i="1" s="1"/>
  <c r="B131" i="2"/>
  <c r="A131" i="2"/>
  <c r="G130" i="2"/>
  <c r="F134" i="5" s="1"/>
  <c r="F130" i="2"/>
  <c r="E134" i="5" s="1"/>
  <c r="E130" i="2"/>
  <c r="D130" i="2"/>
  <c r="C130" i="2"/>
  <c r="B134" i="5" s="1"/>
  <c r="B130" i="2"/>
  <c r="A130" i="2"/>
  <c r="B140" i="1" s="1"/>
  <c r="G129" i="2"/>
  <c r="F133" i="5" s="1"/>
  <c r="F129" i="2"/>
  <c r="E133" i="5" s="1"/>
  <c r="E129" i="2"/>
  <c r="D133" i="5" s="1"/>
  <c r="D129" i="2"/>
  <c r="C129" i="2"/>
  <c r="B129" i="2"/>
  <c r="A129" i="2"/>
  <c r="G128" i="2"/>
  <c r="F128" i="2"/>
  <c r="E132" i="5" s="1"/>
  <c r="E128" i="2"/>
  <c r="D132" i="5" s="1"/>
  <c r="D128" i="2"/>
  <c r="C132" i="5" s="1"/>
  <c r="C128" i="2"/>
  <c r="B128" i="2"/>
  <c r="A128" i="2"/>
  <c r="G127" i="2"/>
  <c r="F127" i="2"/>
  <c r="F137" i="1" s="1"/>
  <c r="E127" i="2"/>
  <c r="D131" i="5" s="1"/>
  <c r="D127" i="2"/>
  <c r="C131" i="5" s="1"/>
  <c r="C127" i="2"/>
  <c r="B131" i="5" s="1"/>
  <c r="B127" i="2"/>
  <c r="A127" i="2"/>
  <c r="G126" i="2"/>
  <c r="F130" i="5" s="1"/>
  <c r="F126" i="2"/>
  <c r="E126" i="2"/>
  <c r="E136" i="1" s="1"/>
  <c r="D126" i="2"/>
  <c r="C130" i="5" s="1"/>
  <c r="C126" i="2"/>
  <c r="B130" i="5" s="1"/>
  <c r="B126" i="2"/>
  <c r="A126" i="2"/>
  <c r="A130" i="5" s="1"/>
  <c r="G125" i="2"/>
  <c r="F125" i="2"/>
  <c r="E129" i="5" s="1"/>
  <c r="E125" i="2"/>
  <c r="E135" i="1" s="1"/>
  <c r="D125" i="2"/>
  <c r="D135" i="1" s="1"/>
  <c r="C125" i="2"/>
  <c r="B129" i="5" s="1"/>
  <c r="B125" i="2"/>
  <c r="A125" i="2"/>
  <c r="G124" i="2"/>
  <c r="F124" i="2"/>
  <c r="E124" i="2"/>
  <c r="D128" i="5" s="1"/>
  <c r="D124" i="2"/>
  <c r="C124" i="2"/>
  <c r="C130" i="3" s="1"/>
  <c r="B124" i="2"/>
  <c r="A124" i="2"/>
  <c r="A128" i="5" s="1"/>
  <c r="G123" i="2"/>
  <c r="F127" i="5" s="1"/>
  <c r="F123" i="2"/>
  <c r="E123" i="2"/>
  <c r="D123" i="2"/>
  <c r="C127" i="5" s="1"/>
  <c r="C123" i="2"/>
  <c r="B123" i="2"/>
  <c r="A123" i="2"/>
  <c r="G122" i="2"/>
  <c r="F126" i="5" s="1"/>
  <c r="F122" i="2"/>
  <c r="E126" i="5" s="1"/>
  <c r="E122" i="2"/>
  <c r="D122" i="2"/>
  <c r="C122" i="2"/>
  <c r="B126" i="5" s="1"/>
  <c r="B122" i="2"/>
  <c r="A122" i="2"/>
  <c r="G121" i="2"/>
  <c r="F125" i="5" s="1"/>
  <c r="F121" i="2"/>
  <c r="E125" i="5" s="1"/>
  <c r="E121" i="2"/>
  <c r="D125" i="5" s="1"/>
  <c r="D121" i="2"/>
  <c r="C121" i="2"/>
  <c r="B121" i="2"/>
  <c r="A121" i="2"/>
  <c r="A125" i="5" s="1"/>
  <c r="G120" i="2"/>
  <c r="F120" i="2"/>
  <c r="E124" i="5" s="1"/>
  <c r="E120" i="2"/>
  <c r="D124" i="5" s="1"/>
  <c r="D120" i="2"/>
  <c r="C124" i="5" s="1"/>
  <c r="C120" i="2"/>
  <c r="B120" i="2"/>
  <c r="A120" i="2"/>
  <c r="G119" i="2"/>
  <c r="F119" i="2"/>
  <c r="E119" i="2"/>
  <c r="D123" i="5" s="1"/>
  <c r="D119" i="2"/>
  <c r="C123" i="5" s="1"/>
  <c r="C119" i="2"/>
  <c r="B123" i="5" s="1"/>
  <c r="B119" i="2"/>
  <c r="A119" i="2"/>
  <c r="G118" i="2"/>
  <c r="F122" i="5" s="1"/>
  <c r="F118" i="2"/>
  <c r="E118" i="2"/>
  <c r="D118" i="2"/>
  <c r="C122" i="5" s="1"/>
  <c r="C118" i="2"/>
  <c r="B122" i="5" s="1"/>
  <c r="B118" i="2"/>
  <c r="A118" i="2"/>
  <c r="A122" i="5" s="1"/>
  <c r="G117" i="2"/>
  <c r="F117" i="2"/>
  <c r="E121" i="5" s="1"/>
  <c r="E117" i="2"/>
  <c r="D117" i="2"/>
  <c r="C117" i="2"/>
  <c r="B121" i="5" s="1"/>
  <c r="B117" i="2"/>
  <c r="A117" i="2"/>
  <c r="G116" i="2"/>
  <c r="F116" i="2"/>
  <c r="E116" i="2"/>
  <c r="D120" i="5" s="1"/>
  <c r="D116" i="2"/>
  <c r="C116" i="2"/>
  <c r="B116" i="2"/>
  <c r="A116" i="2"/>
  <c r="A120" i="5" s="1"/>
  <c r="G115" i="2"/>
  <c r="F119" i="5" s="1"/>
  <c r="F115" i="2"/>
  <c r="E115" i="2"/>
  <c r="D115" i="2"/>
  <c r="C119" i="5" s="1"/>
  <c r="C115" i="2"/>
  <c r="C125" i="1" s="1"/>
  <c r="B115" i="2"/>
  <c r="A115" i="2"/>
  <c r="G114" i="2"/>
  <c r="F118" i="5" s="1"/>
  <c r="F114" i="2"/>
  <c r="E118" i="5" s="1"/>
  <c r="E114" i="2"/>
  <c r="D114" i="2"/>
  <c r="C114" i="2"/>
  <c r="B118" i="5" s="1"/>
  <c r="B114" i="2"/>
  <c r="A114" i="2"/>
  <c r="G113" i="2"/>
  <c r="F117" i="5" s="1"/>
  <c r="F113" i="2"/>
  <c r="E117" i="5" s="1"/>
  <c r="E113" i="2"/>
  <c r="D117" i="5" s="1"/>
  <c r="D113" i="2"/>
  <c r="C113" i="2"/>
  <c r="B113" i="2"/>
  <c r="A113" i="2"/>
  <c r="B123" i="1" s="1"/>
  <c r="G112" i="2"/>
  <c r="F112" i="2"/>
  <c r="E116" i="5" s="1"/>
  <c r="E112" i="2"/>
  <c r="D116" i="5" s="1"/>
  <c r="D112" i="2"/>
  <c r="C116" i="5" s="1"/>
  <c r="C112" i="2"/>
  <c r="B112" i="2"/>
  <c r="A112" i="2"/>
  <c r="G111" i="2"/>
  <c r="G121" i="1" s="1"/>
  <c r="J121" i="1" s="1"/>
  <c r="F111" i="2"/>
  <c r="E111" i="2"/>
  <c r="D115" i="5" s="1"/>
  <c r="D111" i="2"/>
  <c r="C115" i="5" s="1"/>
  <c r="C111" i="2"/>
  <c r="B115" i="5" s="1"/>
  <c r="B111" i="2"/>
  <c r="A111" i="2"/>
  <c r="G110" i="2"/>
  <c r="F114" i="5" s="1"/>
  <c r="F110" i="2"/>
  <c r="E110" i="2"/>
  <c r="D110" i="2"/>
  <c r="C114" i="5" s="1"/>
  <c r="C110" i="2"/>
  <c r="B114" i="5" s="1"/>
  <c r="B110" i="2"/>
  <c r="A110" i="2"/>
  <c r="A114" i="5" s="1"/>
  <c r="G109" i="2"/>
  <c r="F109" i="2"/>
  <c r="E113" i="5" s="1"/>
  <c r="E109" i="2"/>
  <c r="D109" i="2"/>
  <c r="C109" i="2"/>
  <c r="B113" i="5" s="1"/>
  <c r="B109" i="2"/>
  <c r="A109" i="2"/>
  <c r="G108" i="2"/>
  <c r="F108" i="2"/>
  <c r="E108" i="2"/>
  <c r="D112" i="5" s="1"/>
  <c r="D108" i="2"/>
  <c r="C108" i="2"/>
  <c r="B108" i="2"/>
  <c r="A108" i="2"/>
  <c r="A112" i="5" s="1"/>
  <c r="G107" i="2"/>
  <c r="F111" i="5" s="1"/>
  <c r="F107" i="2"/>
  <c r="E107" i="2"/>
  <c r="D107" i="2"/>
  <c r="C111" i="5" s="1"/>
  <c r="C107" i="2"/>
  <c r="C117" i="1" s="1"/>
  <c r="B107" i="2"/>
  <c r="A107" i="2"/>
  <c r="G106" i="2"/>
  <c r="F110" i="5" s="1"/>
  <c r="F106" i="2"/>
  <c r="E110" i="5" s="1"/>
  <c r="E106" i="2"/>
  <c r="D106" i="2"/>
  <c r="C106" i="2"/>
  <c r="B110" i="5" s="1"/>
  <c r="B106" i="2"/>
  <c r="A106" i="2"/>
  <c r="G105" i="2"/>
  <c r="F109" i="5" s="1"/>
  <c r="F105" i="2"/>
  <c r="E109" i="5" s="1"/>
  <c r="E105" i="2"/>
  <c r="D105" i="2"/>
  <c r="C105" i="2"/>
  <c r="B109" i="5" s="1"/>
  <c r="B105" i="2"/>
  <c r="A105" i="2"/>
  <c r="G104" i="2"/>
  <c r="F108" i="5" s="1"/>
  <c r="F104" i="2"/>
  <c r="E108" i="5" s="1"/>
  <c r="E104" i="2"/>
  <c r="D104" i="2"/>
  <c r="C104" i="2"/>
  <c r="B104" i="2"/>
  <c r="A104" i="2"/>
  <c r="G103" i="2"/>
  <c r="F103" i="2"/>
  <c r="E103" i="2"/>
  <c r="D103" i="2"/>
  <c r="C103" i="2"/>
  <c r="B107" i="5" s="1"/>
  <c r="B103" i="2"/>
  <c r="A103" i="2"/>
  <c r="G102" i="2"/>
  <c r="F106" i="5" s="1"/>
  <c r="F102" i="2"/>
  <c r="E106" i="5" s="1"/>
  <c r="E102" i="2"/>
  <c r="D102" i="2"/>
  <c r="C102" i="2"/>
  <c r="B106" i="5" s="1"/>
  <c r="B102" i="2"/>
  <c r="A102" i="2"/>
  <c r="G101" i="2"/>
  <c r="F105" i="5" s="1"/>
  <c r="F101" i="2"/>
  <c r="E105" i="5" s="1"/>
  <c r="E101" i="2"/>
  <c r="D101" i="2"/>
  <c r="C101" i="2"/>
  <c r="B105" i="5" s="1"/>
  <c r="B101" i="2"/>
  <c r="A101" i="2"/>
  <c r="G100" i="2"/>
  <c r="F100" i="2"/>
  <c r="E104" i="5" s="1"/>
  <c r="E100" i="2"/>
  <c r="D100" i="2"/>
  <c r="C100" i="2"/>
  <c r="B104" i="5" s="1"/>
  <c r="B100" i="2"/>
  <c r="A100" i="2"/>
  <c r="G99" i="2"/>
  <c r="F99" i="2"/>
  <c r="E103" i="5" s="1"/>
  <c r="E99" i="2"/>
  <c r="D99" i="2"/>
  <c r="C99" i="2"/>
  <c r="B103" i="5" s="1"/>
  <c r="B99" i="2"/>
  <c r="A99" i="2"/>
  <c r="G98" i="2"/>
  <c r="F102" i="5" s="1"/>
  <c r="F98" i="2"/>
  <c r="E102" i="5" s="1"/>
  <c r="E98" i="2"/>
  <c r="D98" i="2"/>
  <c r="C98" i="2"/>
  <c r="B102" i="5" s="1"/>
  <c r="B98" i="2"/>
  <c r="A98" i="2"/>
  <c r="G97" i="2"/>
  <c r="F97" i="2"/>
  <c r="E101" i="5" s="1"/>
  <c r="E97" i="2"/>
  <c r="D97" i="2"/>
  <c r="C97" i="2"/>
  <c r="B101" i="5" s="1"/>
  <c r="B97" i="2"/>
  <c r="A97" i="2"/>
  <c r="B107" i="1" s="1"/>
  <c r="G96" i="2"/>
  <c r="F100" i="5" s="1"/>
  <c r="F96" i="2"/>
  <c r="E100" i="5" s="1"/>
  <c r="E96" i="2"/>
  <c r="D96" i="2"/>
  <c r="C96" i="2"/>
  <c r="B96" i="2"/>
  <c r="A96" i="2"/>
  <c r="G95" i="2"/>
  <c r="F95" i="2"/>
  <c r="E95" i="2"/>
  <c r="D95" i="2"/>
  <c r="C95" i="2"/>
  <c r="B99" i="5" s="1"/>
  <c r="B95" i="2"/>
  <c r="A95" i="2"/>
  <c r="G94" i="2"/>
  <c r="F98" i="5" s="1"/>
  <c r="F94" i="2"/>
  <c r="E98" i="5" s="1"/>
  <c r="E94" i="2"/>
  <c r="D94" i="2"/>
  <c r="C94" i="2"/>
  <c r="B98" i="5" s="1"/>
  <c r="B94" i="2"/>
  <c r="A94" i="2"/>
  <c r="G93" i="2"/>
  <c r="F97" i="5" s="1"/>
  <c r="F93" i="2"/>
  <c r="E97" i="5" s="1"/>
  <c r="E93" i="2"/>
  <c r="E103" i="1" s="1"/>
  <c r="D93" i="2"/>
  <c r="C93" i="2"/>
  <c r="B97" i="5" s="1"/>
  <c r="B93" i="2"/>
  <c r="A93" i="2"/>
  <c r="G92" i="2"/>
  <c r="F92" i="2"/>
  <c r="E96" i="5" s="1"/>
  <c r="E92" i="2"/>
  <c r="D92" i="2"/>
  <c r="C92" i="2"/>
  <c r="B96" i="5" s="1"/>
  <c r="B92" i="2"/>
  <c r="A92" i="2"/>
  <c r="G91" i="2"/>
  <c r="F91" i="2"/>
  <c r="E95" i="5" s="1"/>
  <c r="E91" i="2"/>
  <c r="D91" i="2"/>
  <c r="C91" i="2"/>
  <c r="B95" i="5" s="1"/>
  <c r="B91" i="2"/>
  <c r="A91" i="2"/>
  <c r="G90" i="2"/>
  <c r="F94" i="5" s="1"/>
  <c r="F90" i="2"/>
  <c r="E94" i="5" s="1"/>
  <c r="E90" i="2"/>
  <c r="D90" i="2"/>
  <c r="C90" i="2"/>
  <c r="B94" i="5" s="1"/>
  <c r="B90" i="2"/>
  <c r="A90" i="2"/>
  <c r="G89" i="2"/>
  <c r="F89" i="2"/>
  <c r="E93" i="5" s="1"/>
  <c r="E89" i="2"/>
  <c r="D89" i="2"/>
  <c r="D95" i="3" s="1"/>
  <c r="C89" i="2"/>
  <c r="B93" i="5" s="1"/>
  <c r="B89" i="2"/>
  <c r="A89" i="2"/>
  <c r="B99" i="1" s="1"/>
  <c r="G88" i="2"/>
  <c r="F92" i="5" s="1"/>
  <c r="F88" i="2"/>
  <c r="E92" i="5" s="1"/>
  <c r="E88" i="2"/>
  <c r="D88" i="2"/>
  <c r="C88" i="2"/>
  <c r="B88" i="2"/>
  <c r="A88" i="2"/>
  <c r="G87" i="2"/>
  <c r="F87" i="2"/>
  <c r="E87" i="2"/>
  <c r="D87" i="2"/>
  <c r="C87" i="2"/>
  <c r="B91" i="5" s="1"/>
  <c r="B87" i="2"/>
  <c r="A87" i="2"/>
  <c r="G86" i="2"/>
  <c r="F90" i="5" s="1"/>
  <c r="F86" i="2"/>
  <c r="E90" i="5" s="1"/>
  <c r="E86" i="2"/>
  <c r="D86" i="2"/>
  <c r="C86" i="2"/>
  <c r="B90" i="5" s="1"/>
  <c r="B86" i="2"/>
  <c r="A86" i="2"/>
  <c r="G85" i="2"/>
  <c r="F89" i="5" s="1"/>
  <c r="F85" i="2"/>
  <c r="E89" i="5" s="1"/>
  <c r="E85" i="2"/>
  <c r="E95" i="1" s="1"/>
  <c r="D85" i="2"/>
  <c r="C85" i="2"/>
  <c r="B89" i="5" s="1"/>
  <c r="B85" i="2"/>
  <c r="A85" i="2"/>
  <c r="G84" i="2"/>
  <c r="F84" i="2"/>
  <c r="E88" i="5" s="1"/>
  <c r="E84" i="2"/>
  <c r="D84" i="2"/>
  <c r="C84" i="2"/>
  <c r="B88" i="5" s="1"/>
  <c r="B84" i="2"/>
  <c r="A84" i="2"/>
  <c r="G83" i="2"/>
  <c r="F83" i="2"/>
  <c r="E87" i="5" s="1"/>
  <c r="E83" i="2"/>
  <c r="D83" i="2"/>
  <c r="C83" i="2"/>
  <c r="B87" i="5" s="1"/>
  <c r="B83" i="2"/>
  <c r="A83" i="2"/>
  <c r="G82" i="2"/>
  <c r="F86" i="5" s="1"/>
  <c r="F82" i="2"/>
  <c r="E86" i="5" s="1"/>
  <c r="E82" i="2"/>
  <c r="D82" i="2"/>
  <c r="C82" i="2"/>
  <c r="B86" i="5" s="1"/>
  <c r="B82" i="2"/>
  <c r="A82" i="2"/>
  <c r="G81" i="2"/>
  <c r="F81" i="2"/>
  <c r="E85" i="5" s="1"/>
  <c r="E81" i="2"/>
  <c r="D81" i="2"/>
  <c r="C81" i="2"/>
  <c r="B85" i="5" s="1"/>
  <c r="B81" i="2"/>
  <c r="A81" i="2"/>
  <c r="B91" i="1" s="1"/>
  <c r="G80" i="2"/>
  <c r="F84" i="5" s="1"/>
  <c r="F80" i="2"/>
  <c r="E84" i="5" s="1"/>
  <c r="E80" i="2"/>
  <c r="D80" i="2"/>
  <c r="C80" i="2"/>
  <c r="B80" i="2"/>
  <c r="A80" i="2"/>
  <c r="G79" i="2"/>
  <c r="F79" i="2"/>
  <c r="E83" i="5" s="1"/>
  <c r="E79" i="2"/>
  <c r="D79" i="2"/>
  <c r="C79" i="2"/>
  <c r="B83" i="5" s="1"/>
  <c r="B79" i="2"/>
  <c r="A79" i="2"/>
  <c r="G78" i="2"/>
  <c r="F82" i="5" s="1"/>
  <c r="F78" i="2"/>
  <c r="E82" i="5" s="1"/>
  <c r="E78" i="2"/>
  <c r="D78" i="2"/>
  <c r="C78" i="2"/>
  <c r="B82" i="5" s="1"/>
  <c r="B78" i="2"/>
  <c r="A78" i="2"/>
  <c r="G77" i="2"/>
  <c r="F81" i="5" s="1"/>
  <c r="F77" i="2"/>
  <c r="E81" i="5" s="1"/>
  <c r="E77" i="2"/>
  <c r="E87" i="1" s="1"/>
  <c r="D77" i="2"/>
  <c r="C77" i="2"/>
  <c r="B81" i="5" s="1"/>
  <c r="B77" i="2"/>
  <c r="A77" i="2"/>
  <c r="G76" i="2"/>
  <c r="F76" i="2"/>
  <c r="E80" i="5" s="1"/>
  <c r="E76" i="2"/>
  <c r="D76" i="2"/>
  <c r="C76" i="2"/>
  <c r="B80" i="5" s="1"/>
  <c r="B76" i="2"/>
  <c r="A76" i="2"/>
  <c r="G75" i="2"/>
  <c r="F75" i="2"/>
  <c r="E79" i="5" s="1"/>
  <c r="E75" i="2"/>
  <c r="D75" i="2"/>
  <c r="C75" i="2"/>
  <c r="B79" i="5" s="1"/>
  <c r="B75" i="2"/>
  <c r="A75" i="2"/>
  <c r="G74" i="2"/>
  <c r="F78" i="5" s="1"/>
  <c r="F74" i="2"/>
  <c r="E78" i="5" s="1"/>
  <c r="E74" i="2"/>
  <c r="D74" i="2"/>
  <c r="C74" i="2"/>
  <c r="B78" i="5" s="1"/>
  <c r="B74" i="2"/>
  <c r="A74" i="2"/>
  <c r="G73" i="2"/>
  <c r="F73" i="2"/>
  <c r="E77" i="5" s="1"/>
  <c r="E73" i="2"/>
  <c r="D73" i="2"/>
  <c r="C73" i="2"/>
  <c r="B77" i="5" s="1"/>
  <c r="A73" i="2"/>
  <c r="G72" i="2"/>
  <c r="F72" i="2"/>
  <c r="E72" i="2"/>
  <c r="D72" i="2"/>
  <c r="C72" i="2"/>
  <c r="B72" i="2"/>
  <c r="A72" i="2"/>
  <c r="G71" i="2"/>
  <c r="F75" i="5" s="1"/>
  <c r="F71" i="2"/>
  <c r="E75" i="5" s="1"/>
  <c r="E71" i="2"/>
  <c r="D71" i="2"/>
  <c r="C71" i="2"/>
  <c r="B75" i="5" s="1"/>
  <c r="B71" i="2"/>
  <c r="A71" i="2"/>
  <c r="G70" i="2"/>
  <c r="F74" i="5" s="1"/>
  <c r="F70" i="2"/>
  <c r="E74" i="5" s="1"/>
  <c r="E70" i="2"/>
  <c r="D70" i="2"/>
  <c r="C70" i="2"/>
  <c r="B70" i="2"/>
  <c r="A70" i="2"/>
  <c r="G69" i="2"/>
  <c r="F69" i="2"/>
  <c r="E73" i="5" s="1"/>
  <c r="E69" i="2"/>
  <c r="D69" i="2"/>
  <c r="C69" i="2"/>
  <c r="B69" i="2"/>
  <c r="A69" i="2"/>
  <c r="G68" i="2"/>
  <c r="F68" i="2"/>
  <c r="E72" i="5" s="1"/>
  <c r="E68" i="2"/>
  <c r="D68" i="2"/>
  <c r="C68" i="2"/>
  <c r="C78" i="1" s="1"/>
  <c r="B68" i="2"/>
  <c r="A68" i="2"/>
  <c r="G67" i="2"/>
  <c r="F71" i="5" s="1"/>
  <c r="F67" i="2"/>
  <c r="E71" i="5" s="1"/>
  <c r="E67" i="2"/>
  <c r="D67" i="2"/>
  <c r="C67" i="2"/>
  <c r="B71" i="5" s="1"/>
  <c r="B67" i="2"/>
  <c r="A67" i="2"/>
  <c r="G66" i="2"/>
  <c r="F66" i="2"/>
  <c r="E70" i="5" s="1"/>
  <c r="E66" i="2"/>
  <c r="D66" i="2"/>
  <c r="C66" i="2"/>
  <c r="B70" i="5" s="1"/>
  <c r="B66" i="2"/>
  <c r="A66" i="2"/>
  <c r="B76" i="1" s="1"/>
  <c r="G65" i="2"/>
  <c r="F69" i="5" s="1"/>
  <c r="F65" i="2"/>
  <c r="E69" i="5" s="1"/>
  <c r="E65" i="2"/>
  <c r="D65" i="2"/>
  <c r="C65" i="2"/>
  <c r="B69" i="5" s="1"/>
  <c r="B65" i="2"/>
  <c r="A65" i="2"/>
  <c r="G64" i="2"/>
  <c r="F64" i="2"/>
  <c r="E64" i="2"/>
  <c r="D64" i="2"/>
  <c r="C64" i="2"/>
  <c r="B64" i="2"/>
  <c r="A64" i="2"/>
  <c r="G63" i="2"/>
  <c r="F67" i="5" s="1"/>
  <c r="F63" i="2"/>
  <c r="E67" i="5" s="1"/>
  <c r="E63" i="2"/>
  <c r="D63" i="2"/>
  <c r="C63" i="2"/>
  <c r="B67" i="5" s="1"/>
  <c r="B63" i="2"/>
  <c r="A63" i="2"/>
  <c r="G62" i="2"/>
  <c r="F66" i="5" s="1"/>
  <c r="F62" i="2"/>
  <c r="E66" i="5" s="1"/>
  <c r="E62" i="2"/>
  <c r="D62" i="2"/>
  <c r="C62" i="2"/>
  <c r="B62" i="2"/>
  <c r="A62" i="2"/>
  <c r="G61" i="2"/>
  <c r="F65" i="5" s="1"/>
  <c r="F61" i="2"/>
  <c r="E65" i="5" s="1"/>
  <c r="E61" i="2"/>
  <c r="D61" i="2"/>
  <c r="C61" i="2"/>
  <c r="B65" i="5" s="1"/>
  <c r="B61" i="2"/>
  <c r="A61" i="2"/>
  <c r="A65" i="5" s="1"/>
  <c r="G60" i="2"/>
  <c r="F60" i="2"/>
  <c r="E60" i="2"/>
  <c r="D60" i="2"/>
  <c r="C60" i="2"/>
  <c r="B64" i="5" s="1"/>
  <c r="B60" i="2"/>
  <c r="A60" i="2"/>
  <c r="A64" i="5" s="1"/>
  <c r="G59" i="2"/>
  <c r="F63" i="5" s="1"/>
  <c r="F59" i="2"/>
  <c r="E63" i="5" s="1"/>
  <c r="E59" i="2"/>
  <c r="D59" i="2"/>
  <c r="C59" i="2"/>
  <c r="B63" i="5" s="1"/>
  <c r="B59" i="2"/>
  <c r="A59" i="2"/>
  <c r="G58" i="2"/>
  <c r="F62" i="5" s="1"/>
  <c r="F58" i="2"/>
  <c r="E62" i="5" s="1"/>
  <c r="E58" i="2"/>
  <c r="D58" i="2"/>
  <c r="C58" i="2"/>
  <c r="B62" i="5" s="1"/>
  <c r="B58" i="2"/>
  <c r="A58" i="2"/>
  <c r="B68" i="1" s="1"/>
  <c r="G57" i="2"/>
  <c r="F61" i="5" s="1"/>
  <c r="F57" i="2"/>
  <c r="E57" i="2"/>
  <c r="D57" i="2"/>
  <c r="C57" i="2"/>
  <c r="B57" i="2"/>
  <c r="A57" i="2"/>
  <c r="A61" i="5" s="1"/>
  <c r="G56" i="2"/>
  <c r="F56" i="2"/>
  <c r="E60" i="5" s="1"/>
  <c r="E56" i="2"/>
  <c r="D56" i="2"/>
  <c r="C56" i="2"/>
  <c r="B60" i="5" s="1"/>
  <c r="B56" i="2"/>
  <c r="A56" i="2"/>
  <c r="A60" i="5" s="1"/>
  <c r="G55" i="2"/>
  <c r="F59" i="5" s="1"/>
  <c r="F55" i="2"/>
  <c r="E59" i="5" s="1"/>
  <c r="E55" i="2"/>
  <c r="D55" i="2"/>
  <c r="C59" i="5" s="1"/>
  <c r="C55" i="2"/>
  <c r="B59" i="5" s="1"/>
  <c r="B55" i="2"/>
  <c r="A55" i="2"/>
  <c r="G54" i="2"/>
  <c r="F58" i="5" s="1"/>
  <c r="F54" i="2"/>
  <c r="E58" i="5" s="1"/>
  <c r="E54" i="2"/>
  <c r="D54" i="2"/>
  <c r="C58" i="5" s="1"/>
  <c r="C54" i="2"/>
  <c r="B58" i="5" s="1"/>
  <c r="B54" i="2"/>
  <c r="A54" i="2"/>
  <c r="A58" i="5" s="1"/>
  <c r="G53" i="2"/>
  <c r="F53" i="2"/>
  <c r="E57" i="5" s="1"/>
  <c r="E53" i="2"/>
  <c r="D53" i="2"/>
  <c r="C53" i="2"/>
  <c r="B53" i="2"/>
  <c r="A53" i="2"/>
  <c r="A57" i="5" s="1"/>
  <c r="G52" i="2"/>
  <c r="F56" i="5" s="1"/>
  <c r="F52" i="2"/>
  <c r="E52" i="2"/>
  <c r="D52" i="2"/>
  <c r="C56" i="5" s="1"/>
  <c r="C52" i="2"/>
  <c r="B56" i="5" s="1"/>
  <c r="B52" i="2"/>
  <c r="A52" i="2"/>
  <c r="G51" i="2"/>
  <c r="F55" i="5" s="1"/>
  <c r="F51" i="2"/>
  <c r="E55" i="5" s="1"/>
  <c r="E51" i="2"/>
  <c r="D51" i="2"/>
  <c r="C55" i="5" s="1"/>
  <c r="C51" i="2"/>
  <c r="B55" i="5" s="1"/>
  <c r="B51" i="2"/>
  <c r="A51" i="2"/>
  <c r="G50" i="2"/>
  <c r="F50" i="2"/>
  <c r="E54" i="5" s="1"/>
  <c r="E50" i="2"/>
  <c r="D50" i="2"/>
  <c r="C54" i="5" s="1"/>
  <c r="C50" i="2"/>
  <c r="B54" i="5" s="1"/>
  <c r="B50" i="2"/>
  <c r="A50" i="2"/>
  <c r="B60" i="1" s="1"/>
  <c r="G49" i="2"/>
  <c r="F49" i="2"/>
  <c r="E49" i="2"/>
  <c r="D49" i="2"/>
  <c r="C53" i="5" s="1"/>
  <c r="C49" i="2"/>
  <c r="B53" i="5" s="1"/>
  <c r="A49" i="2"/>
  <c r="A53" i="5" s="1"/>
  <c r="G48" i="2"/>
  <c r="F52" i="5" s="1"/>
  <c r="F48" i="2"/>
  <c r="E48" i="2"/>
  <c r="D48" i="2"/>
  <c r="C48" i="2"/>
  <c r="B52" i="5" s="1"/>
  <c r="B48" i="2"/>
  <c r="A48" i="2"/>
  <c r="A52" i="5" s="1"/>
  <c r="G47" i="2"/>
  <c r="F51" i="5" s="1"/>
  <c r="F47" i="2"/>
  <c r="E51" i="5" s="1"/>
  <c r="E47" i="2"/>
  <c r="D47" i="2"/>
  <c r="C47" i="2"/>
  <c r="B47" i="2"/>
  <c r="A47" i="2"/>
  <c r="A51" i="5" s="1"/>
  <c r="G46" i="2"/>
  <c r="F46" i="2"/>
  <c r="E50" i="5" s="1"/>
  <c r="E46" i="2"/>
  <c r="D46" i="2"/>
  <c r="C46" i="2"/>
  <c r="B46" i="2"/>
  <c r="A46" i="2"/>
  <c r="A50" i="5" s="1"/>
  <c r="G45" i="2"/>
  <c r="F45" i="2"/>
  <c r="E45" i="2"/>
  <c r="D45" i="2"/>
  <c r="C49" i="5" s="1"/>
  <c r="C45" i="2"/>
  <c r="C55" i="1" s="1"/>
  <c r="B45" i="2"/>
  <c r="A45" i="2"/>
  <c r="G44" i="2"/>
  <c r="F48" i="5" s="1"/>
  <c r="F44" i="2"/>
  <c r="E44" i="2"/>
  <c r="D44" i="2"/>
  <c r="C48" i="5" s="1"/>
  <c r="C44" i="2"/>
  <c r="B48" i="5" s="1"/>
  <c r="B44" i="2"/>
  <c r="A44" i="2"/>
  <c r="A48" i="5" s="1"/>
  <c r="G43" i="2"/>
  <c r="F43" i="2"/>
  <c r="E47" i="5" s="1"/>
  <c r="E43" i="2"/>
  <c r="D43" i="2"/>
  <c r="C43" i="2"/>
  <c r="B47" i="5" s="1"/>
  <c r="B43" i="2"/>
  <c r="A43" i="2"/>
  <c r="A47" i="5" s="1"/>
  <c r="G42" i="2"/>
  <c r="F46" i="5" s="1"/>
  <c r="F42" i="2"/>
  <c r="E42" i="2"/>
  <c r="D42" i="2"/>
  <c r="C46" i="5" s="1"/>
  <c r="C42" i="2"/>
  <c r="B42" i="2"/>
  <c r="A42" i="2"/>
  <c r="A46" i="5" s="1"/>
  <c r="G41" i="2"/>
  <c r="F41" i="2"/>
  <c r="E45" i="5" s="1"/>
  <c r="E41" i="2"/>
  <c r="D45" i="5" s="1"/>
  <c r="D41" i="2"/>
  <c r="C45" i="5" s="1"/>
  <c r="C41" i="2"/>
  <c r="B41" i="2"/>
  <c r="A41" i="2"/>
  <c r="A45" i="5" s="1"/>
  <c r="G40" i="2"/>
  <c r="F44" i="5" s="1"/>
  <c r="F40" i="2"/>
  <c r="F50" i="1" s="1"/>
  <c r="E40" i="2"/>
  <c r="D44" i="5" s="1"/>
  <c r="D40" i="2"/>
  <c r="C40" i="2"/>
  <c r="B44" i="5" s="1"/>
  <c r="B40" i="2"/>
  <c r="A40" i="2"/>
  <c r="G39" i="2"/>
  <c r="F43" i="5" s="1"/>
  <c r="F39" i="2"/>
  <c r="E43" i="5" s="1"/>
  <c r="E39" i="2"/>
  <c r="D43" i="5" s="1"/>
  <c r="D39" i="2"/>
  <c r="C39" i="2"/>
  <c r="B39" i="2"/>
  <c r="A39" i="2"/>
  <c r="G38" i="2"/>
  <c r="F38" i="2"/>
  <c r="E42" i="5" s="1"/>
  <c r="E38" i="2"/>
  <c r="D42" i="5" s="1"/>
  <c r="D38" i="2"/>
  <c r="C42" i="5" s="1"/>
  <c r="C38" i="2"/>
  <c r="B42" i="5" s="1"/>
  <c r="B38" i="2"/>
  <c r="A38" i="2"/>
  <c r="A42" i="5" s="1"/>
  <c r="G37" i="2"/>
  <c r="F37" i="2"/>
  <c r="E37" i="2"/>
  <c r="D41" i="5" s="1"/>
  <c r="D37" i="2"/>
  <c r="C41" i="5" s="1"/>
  <c r="C37" i="2"/>
  <c r="C47" i="1" s="1"/>
  <c r="B37" i="2"/>
  <c r="A37" i="2"/>
  <c r="G36" i="2"/>
  <c r="F40" i="5" s="1"/>
  <c r="F36" i="2"/>
  <c r="E36" i="2"/>
  <c r="D40" i="5" s="1"/>
  <c r="D36" i="2"/>
  <c r="C40" i="5" s="1"/>
  <c r="C36" i="2"/>
  <c r="B40" i="5" s="1"/>
  <c r="B36" i="2"/>
  <c r="A36" i="2"/>
  <c r="A40" i="5" s="1"/>
  <c r="G35" i="2"/>
  <c r="F35" i="2"/>
  <c r="E39" i="5" s="1"/>
  <c r="E35" i="2"/>
  <c r="D39" i="5" s="1"/>
  <c r="D35" i="2"/>
  <c r="C35" i="2"/>
  <c r="B39" i="5" s="1"/>
  <c r="B35" i="2"/>
  <c r="A35" i="2"/>
  <c r="B45" i="1" s="1"/>
  <c r="G34" i="2"/>
  <c r="F34" i="2"/>
  <c r="E34" i="2"/>
  <c r="D38" i="5" s="1"/>
  <c r="D34" i="2"/>
  <c r="C38" i="5" s="1"/>
  <c r="C34" i="2"/>
  <c r="B34" i="2"/>
  <c r="A34" i="2"/>
  <c r="A38" i="5" s="1"/>
  <c r="G33" i="2"/>
  <c r="F33" i="2"/>
  <c r="E37" i="5" s="1"/>
  <c r="E33" i="2"/>
  <c r="D37" i="5" s="1"/>
  <c r="D33" i="2"/>
  <c r="C37" i="5" s="1"/>
  <c r="C33" i="2"/>
  <c r="B33" i="2"/>
  <c r="A33" i="2"/>
  <c r="A37" i="5" s="1"/>
  <c r="G32" i="2"/>
  <c r="F36" i="5" s="1"/>
  <c r="F32" i="2"/>
  <c r="E32" i="2"/>
  <c r="D32" i="2"/>
  <c r="C36" i="5" s="1"/>
  <c r="C32" i="2"/>
  <c r="B36" i="5" s="1"/>
  <c r="B32" i="2"/>
  <c r="A32" i="2"/>
  <c r="G31" i="2"/>
  <c r="F35" i="5" s="1"/>
  <c r="F31" i="2"/>
  <c r="E35" i="5" s="1"/>
  <c r="E31" i="2"/>
  <c r="D35" i="5" s="1"/>
  <c r="D31" i="2"/>
  <c r="C31" i="2"/>
  <c r="B31" i="2"/>
  <c r="A31" i="2"/>
  <c r="G30" i="2"/>
  <c r="F30" i="2"/>
  <c r="E34" i="5" s="1"/>
  <c r="E30" i="2"/>
  <c r="D34" i="5" s="1"/>
  <c r="D30" i="2"/>
  <c r="C34" i="5" s="1"/>
  <c r="C30" i="2"/>
  <c r="B34" i="5" s="1"/>
  <c r="B30" i="2"/>
  <c r="A30" i="2"/>
  <c r="A34" i="5" s="1"/>
  <c r="G29" i="2"/>
  <c r="F29" i="2"/>
  <c r="E29" i="2"/>
  <c r="D33" i="5" s="1"/>
  <c r="D29" i="2"/>
  <c r="C33" i="5" s="1"/>
  <c r="C29" i="2"/>
  <c r="C39" i="1" s="1"/>
  <c r="B29" i="2"/>
  <c r="A29" i="2"/>
  <c r="G28" i="2"/>
  <c r="F32" i="5" s="1"/>
  <c r="F28" i="2"/>
  <c r="E28" i="2"/>
  <c r="D32" i="5" s="1"/>
  <c r="D28" i="2"/>
  <c r="C32" i="5" s="1"/>
  <c r="C28" i="2"/>
  <c r="B32" i="5" s="1"/>
  <c r="B28" i="2"/>
  <c r="A28" i="2"/>
  <c r="A32" i="5" s="1"/>
  <c r="G27" i="2"/>
  <c r="F27" i="2"/>
  <c r="E31" i="5" s="1"/>
  <c r="E27" i="2"/>
  <c r="D31" i="5" s="1"/>
  <c r="D27" i="2"/>
  <c r="C27" i="2"/>
  <c r="B31" i="5" s="1"/>
  <c r="B27" i="2"/>
  <c r="A27" i="2"/>
  <c r="B37" i="1" s="1"/>
  <c r="G26" i="2"/>
  <c r="F26" i="2"/>
  <c r="E26" i="2"/>
  <c r="D30" i="5" s="1"/>
  <c r="D26" i="2"/>
  <c r="C30" i="5" s="1"/>
  <c r="C26" i="2"/>
  <c r="B26" i="2"/>
  <c r="A26" i="2"/>
  <c r="A30" i="5" s="1"/>
  <c r="G25" i="2"/>
  <c r="F25" i="2"/>
  <c r="F31" i="3" s="1"/>
  <c r="E25" i="2"/>
  <c r="D29" i="5" s="1"/>
  <c r="D25" i="2"/>
  <c r="C29" i="5" s="1"/>
  <c r="C25" i="2"/>
  <c r="B25" i="2"/>
  <c r="A25" i="2"/>
  <c r="A29" i="5" s="1"/>
  <c r="G24" i="2"/>
  <c r="F28" i="5" s="1"/>
  <c r="F24" i="2"/>
  <c r="E24" i="2"/>
  <c r="D28" i="5" s="1"/>
  <c r="D24" i="2"/>
  <c r="C28" i="5" s="1"/>
  <c r="C24" i="2"/>
  <c r="B28" i="5" s="1"/>
  <c r="B24" i="2"/>
  <c r="A24" i="2"/>
  <c r="G23" i="2"/>
  <c r="F27" i="5" s="1"/>
  <c r="F23" i="2"/>
  <c r="E27" i="5" s="1"/>
  <c r="E23" i="2"/>
  <c r="D27" i="5" s="1"/>
  <c r="D23" i="2"/>
  <c r="C23" i="2"/>
  <c r="B23" i="2"/>
  <c r="A23" i="2"/>
  <c r="G22" i="2"/>
  <c r="F22" i="2"/>
  <c r="E26" i="5" s="1"/>
  <c r="E22" i="2"/>
  <c r="D26" i="5" s="1"/>
  <c r="D22" i="2"/>
  <c r="C26" i="5" s="1"/>
  <c r="C22" i="2"/>
  <c r="B26" i="5" s="1"/>
  <c r="B22" i="2"/>
  <c r="A22" i="2"/>
  <c r="A26" i="5" s="1"/>
  <c r="G21" i="2"/>
  <c r="F21" i="2"/>
  <c r="E21" i="2"/>
  <c r="D25" i="5" s="1"/>
  <c r="D21" i="2"/>
  <c r="C25" i="5" s="1"/>
  <c r="C21" i="2"/>
  <c r="C31" i="1" s="1"/>
  <c r="B21" i="2"/>
  <c r="A21" i="2"/>
  <c r="G20" i="2"/>
  <c r="F24" i="5" s="1"/>
  <c r="F20" i="2"/>
  <c r="E20" i="2"/>
  <c r="D24" i="5" s="1"/>
  <c r="D20" i="2"/>
  <c r="C24" i="5" s="1"/>
  <c r="C20" i="2"/>
  <c r="B24" i="5" s="1"/>
  <c r="B20" i="2"/>
  <c r="A20" i="2"/>
  <c r="A24" i="5" s="1"/>
  <c r="G19" i="2"/>
  <c r="F19" i="2"/>
  <c r="E23" i="5" s="1"/>
  <c r="E19" i="2"/>
  <c r="D23" i="5" s="1"/>
  <c r="D19" i="2"/>
  <c r="C23" i="5" s="1"/>
  <c r="C19" i="2"/>
  <c r="B23" i="5" s="1"/>
  <c r="B19" i="2"/>
  <c r="A19" i="2"/>
  <c r="B29" i="1" s="1"/>
  <c r="G18" i="2"/>
  <c r="F18" i="2"/>
  <c r="E18" i="2"/>
  <c r="D22" i="5" s="1"/>
  <c r="D18" i="2"/>
  <c r="C22" i="5" s="1"/>
  <c r="C18" i="2"/>
  <c r="B18" i="2"/>
  <c r="A18" i="2"/>
  <c r="A22" i="5" s="1"/>
  <c r="G17" i="2"/>
  <c r="F17" i="2"/>
  <c r="E21" i="5" s="1"/>
  <c r="E17" i="2"/>
  <c r="D17" i="2"/>
  <c r="C21" i="5" s="1"/>
  <c r="C17" i="2"/>
  <c r="B17" i="2"/>
  <c r="A17" i="2"/>
  <c r="A21" i="5" s="1"/>
  <c r="G16" i="2"/>
  <c r="F20" i="5" s="1"/>
  <c r="F16" i="2"/>
  <c r="F22" i="3" s="1"/>
  <c r="E16" i="2"/>
  <c r="D20" i="5" s="1"/>
  <c r="D16" i="2"/>
  <c r="C20" i="5" s="1"/>
  <c r="C16" i="2"/>
  <c r="B20" i="5" s="1"/>
  <c r="B16" i="2"/>
  <c r="A16" i="2"/>
  <c r="G15" i="2"/>
  <c r="F19" i="5" s="1"/>
  <c r="F15" i="2"/>
  <c r="E19" i="5" s="1"/>
  <c r="E15" i="2"/>
  <c r="D19" i="5" s="1"/>
  <c r="D15" i="2"/>
  <c r="C15" i="2"/>
  <c r="B15" i="2"/>
  <c r="A15" i="2"/>
  <c r="G14" i="2"/>
  <c r="F14" i="2"/>
  <c r="E18" i="5" s="1"/>
  <c r="E14" i="2"/>
  <c r="D18" i="5" s="1"/>
  <c r="D14" i="2"/>
  <c r="C18" i="5" s="1"/>
  <c r="C14" i="2"/>
  <c r="B18" i="5" s="1"/>
  <c r="B14" i="2"/>
  <c r="A14" i="2"/>
  <c r="A18" i="5" s="1"/>
  <c r="G13" i="2"/>
  <c r="F13" i="2"/>
  <c r="E13" i="2"/>
  <c r="D17" i="5" s="1"/>
  <c r="D13" i="2"/>
  <c r="C17" i="5" s="1"/>
  <c r="C13" i="2"/>
  <c r="C23" i="1" s="1"/>
  <c r="B13" i="2"/>
  <c r="A13" i="2"/>
  <c r="G12" i="2"/>
  <c r="F16" i="5" s="1"/>
  <c r="F12" i="2"/>
  <c r="E12" i="2"/>
  <c r="D12" i="2"/>
  <c r="C16" i="5" s="1"/>
  <c r="C12" i="2"/>
  <c r="B16" i="5" s="1"/>
  <c r="B12" i="2"/>
  <c r="A12" i="2"/>
  <c r="A16" i="5" s="1"/>
  <c r="G11" i="2"/>
  <c r="F11" i="2"/>
  <c r="E15" i="5" s="1"/>
  <c r="E11" i="2"/>
  <c r="D15" i="5" s="1"/>
  <c r="D11" i="2"/>
  <c r="C15" i="5" s="1"/>
  <c r="C11" i="2"/>
  <c r="B15" i="5" s="1"/>
  <c r="B11" i="2"/>
  <c r="A11" i="2"/>
  <c r="B21" i="1" s="1"/>
  <c r="G10" i="2"/>
  <c r="F10" i="2"/>
  <c r="E10" i="2"/>
  <c r="D14" i="5" s="1"/>
  <c r="D10" i="2"/>
  <c r="C14" i="5" s="1"/>
  <c r="C10" i="2"/>
  <c r="B10" i="2"/>
  <c r="A10" i="2"/>
  <c r="A14" i="5" s="1"/>
  <c r="G9" i="2"/>
  <c r="F9" i="2"/>
  <c r="E13" i="5" s="1"/>
  <c r="E9" i="2"/>
  <c r="D13" i="5" s="1"/>
  <c r="D9" i="2"/>
  <c r="C13" i="5" s="1"/>
  <c r="C9" i="2"/>
  <c r="B9" i="2"/>
  <c r="A9" i="2"/>
  <c r="G8" i="2"/>
  <c r="F12" i="5" s="1"/>
  <c r="F8" i="2"/>
  <c r="E8" i="2"/>
  <c r="D8" i="2"/>
  <c r="C8" i="2"/>
  <c r="B12" i="5" s="1"/>
  <c r="B8" i="2"/>
  <c r="A8" i="2"/>
  <c r="G7" i="2"/>
  <c r="F7" i="2"/>
  <c r="E11" i="5" s="1"/>
  <c r="E7" i="2"/>
  <c r="D11" i="5" s="1"/>
  <c r="D7" i="2"/>
  <c r="C7" i="2"/>
  <c r="B7" i="2"/>
  <c r="A7" i="2"/>
  <c r="G6" i="2"/>
  <c r="F6" i="2"/>
  <c r="E6" i="2"/>
  <c r="D10" i="5" s="1"/>
  <c r="D6" i="2"/>
  <c r="C10" i="5" s="1"/>
  <c r="C6" i="2"/>
  <c r="B10" i="5" s="1"/>
  <c r="B6" i="2"/>
  <c r="A6" i="2"/>
  <c r="A10" i="5" s="1"/>
  <c r="G5" i="2"/>
  <c r="F5" i="2"/>
  <c r="E5" i="2"/>
  <c r="D9" i="5" s="1"/>
  <c r="D5" i="2"/>
  <c r="C9" i="5" s="1"/>
  <c r="C5" i="2"/>
  <c r="C15" i="1" s="1"/>
  <c r="B5" i="2"/>
  <c r="A5" i="2"/>
  <c r="G4" i="2"/>
  <c r="F8" i="5" s="1"/>
  <c r="F4" i="2"/>
  <c r="E4" i="2"/>
  <c r="D8" i="5" s="1"/>
  <c r="D4" i="2"/>
  <c r="C8" i="5" s="1"/>
  <c r="C4" i="2"/>
  <c r="B8" i="5" s="1"/>
  <c r="B4" i="2"/>
  <c r="A4" i="2"/>
  <c r="A8" i="5" s="1"/>
  <c r="G3" i="2"/>
  <c r="F3" i="2"/>
  <c r="E7" i="5" s="1"/>
  <c r="E3" i="2"/>
  <c r="D7" i="5" s="1"/>
  <c r="D3" i="2"/>
  <c r="C7" i="5" s="1"/>
  <c r="C3" i="2"/>
  <c r="B3" i="2"/>
  <c r="A3" i="2"/>
  <c r="B13" i="1" s="1"/>
  <c r="G2" i="2"/>
  <c r="F2" i="2"/>
  <c r="E2" i="2"/>
  <c r="D6" i="5" s="1"/>
  <c r="D2" i="2"/>
  <c r="C6" i="5" s="1"/>
  <c r="C2" i="2"/>
  <c r="B2" i="2"/>
  <c r="A2" i="2"/>
  <c r="A6" i="5" s="1"/>
  <c r="G1" i="2"/>
  <c r="F5" i="5" s="1"/>
  <c r="F1" i="2"/>
  <c r="E1" i="2"/>
  <c r="D1" i="2"/>
  <c r="C5" i="5" s="1"/>
  <c r="C1" i="2"/>
  <c r="B1" i="2"/>
  <c r="A1" i="2"/>
  <c r="J453" i="1"/>
  <c r="G453" i="1"/>
  <c r="F453" i="1"/>
  <c r="E453" i="1"/>
  <c r="D453" i="1"/>
  <c r="C453" i="1"/>
  <c r="H453" i="1" s="1"/>
  <c r="B453" i="1"/>
  <c r="A453" i="1"/>
  <c r="H452" i="1"/>
  <c r="G452" i="1"/>
  <c r="J452" i="1" s="1"/>
  <c r="F452" i="1"/>
  <c r="E452" i="1"/>
  <c r="D452" i="1"/>
  <c r="C452" i="1"/>
  <c r="B452" i="1"/>
  <c r="A452" i="1"/>
  <c r="J451" i="1"/>
  <c r="G451" i="1"/>
  <c r="F451" i="1"/>
  <c r="E451" i="1"/>
  <c r="D451" i="1"/>
  <c r="C451" i="1"/>
  <c r="H451" i="1" s="1"/>
  <c r="B451" i="1"/>
  <c r="A451" i="1"/>
  <c r="J450" i="1"/>
  <c r="G450" i="1"/>
  <c r="F450" i="1"/>
  <c r="E450" i="1"/>
  <c r="D450" i="1"/>
  <c r="C450" i="1"/>
  <c r="B450" i="1"/>
  <c r="H450" i="1" s="1"/>
  <c r="A450" i="1"/>
  <c r="G449" i="1"/>
  <c r="J449" i="1" s="1"/>
  <c r="F449" i="1"/>
  <c r="E449" i="1"/>
  <c r="D449" i="1"/>
  <c r="C449" i="1"/>
  <c r="B449" i="1"/>
  <c r="H449" i="1" s="1"/>
  <c r="A449" i="1"/>
  <c r="G448" i="1"/>
  <c r="J448" i="1" s="1"/>
  <c r="F448" i="1"/>
  <c r="E448" i="1"/>
  <c r="D448" i="1"/>
  <c r="C448" i="1"/>
  <c r="B448" i="1"/>
  <c r="H448" i="1" s="1"/>
  <c r="A448" i="1"/>
  <c r="G447" i="1"/>
  <c r="J447" i="1" s="1"/>
  <c r="F447" i="1"/>
  <c r="E447" i="1"/>
  <c r="D447" i="1"/>
  <c r="C447" i="1"/>
  <c r="H447" i="1" s="1"/>
  <c r="B447" i="1"/>
  <c r="A447" i="1"/>
  <c r="G446" i="1"/>
  <c r="J446" i="1" s="1"/>
  <c r="F446" i="1"/>
  <c r="E446" i="1"/>
  <c r="D446" i="1"/>
  <c r="C446" i="1"/>
  <c r="B446" i="1"/>
  <c r="H446" i="1" s="1"/>
  <c r="A446" i="1"/>
  <c r="G445" i="1"/>
  <c r="J445" i="1" s="1"/>
  <c r="F445" i="1"/>
  <c r="E445" i="1"/>
  <c r="D445" i="1"/>
  <c r="C445" i="1"/>
  <c r="H445" i="1" s="1"/>
  <c r="B445" i="1"/>
  <c r="A445" i="1"/>
  <c r="G444" i="1"/>
  <c r="J444" i="1" s="1"/>
  <c r="F444" i="1"/>
  <c r="E444" i="1"/>
  <c r="D444" i="1"/>
  <c r="C444" i="1"/>
  <c r="B444" i="1"/>
  <c r="H444" i="1" s="1"/>
  <c r="A444" i="1"/>
  <c r="G443" i="1"/>
  <c r="J443" i="1" s="1"/>
  <c r="F443" i="1"/>
  <c r="E443" i="1"/>
  <c r="D443" i="1"/>
  <c r="C443" i="1"/>
  <c r="H443" i="1" s="1"/>
  <c r="B443" i="1"/>
  <c r="A443" i="1"/>
  <c r="J442" i="1"/>
  <c r="H442" i="1"/>
  <c r="G442" i="1"/>
  <c r="F442" i="1"/>
  <c r="E442" i="1"/>
  <c r="D442" i="1"/>
  <c r="C442" i="1"/>
  <c r="B442" i="1"/>
  <c r="A442" i="1"/>
  <c r="G441" i="1"/>
  <c r="J441" i="1" s="1"/>
  <c r="F441" i="1"/>
  <c r="E441" i="1"/>
  <c r="D441" i="1"/>
  <c r="C441" i="1"/>
  <c r="B441" i="1"/>
  <c r="H441" i="1" s="1"/>
  <c r="A441" i="1"/>
  <c r="H440" i="1"/>
  <c r="G440" i="1"/>
  <c r="J440" i="1" s="1"/>
  <c r="F440" i="1"/>
  <c r="E440" i="1"/>
  <c r="D440" i="1"/>
  <c r="C440" i="1"/>
  <c r="B440" i="1"/>
  <c r="A440" i="1"/>
  <c r="G439" i="1"/>
  <c r="J439" i="1" s="1"/>
  <c r="F439" i="1"/>
  <c r="E439" i="1"/>
  <c r="D439" i="1"/>
  <c r="C439" i="1"/>
  <c r="H439" i="1" s="1"/>
  <c r="B439" i="1"/>
  <c r="A439" i="1"/>
  <c r="H438" i="1"/>
  <c r="G438" i="1"/>
  <c r="J438" i="1" s="1"/>
  <c r="F438" i="1"/>
  <c r="E438" i="1"/>
  <c r="D438" i="1"/>
  <c r="C438" i="1"/>
  <c r="B438" i="1"/>
  <c r="A438" i="1"/>
  <c r="G437" i="1"/>
  <c r="J437" i="1" s="1"/>
  <c r="F437" i="1"/>
  <c r="E437" i="1"/>
  <c r="D437" i="1"/>
  <c r="C437" i="1"/>
  <c r="H437" i="1" s="1"/>
  <c r="B437" i="1"/>
  <c r="A437" i="1"/>
  <c r="H436" i="1"/>
  <c r="G436" i="1"/>
  <c r="J436" i="1" s="1"/>
  <c r="F436" i="1"/>
  <c r="E436" i="1"/>
  <c r="D436" i="1"/>
  <c r="C436" i="1"/>
  <c r="B436" i="1"/>
  <c r="A436" i="1"/>
  <c r="J435" i="1"/>
  <c r="H435" i="1"/>
  <c r="G435" i="1"/>
  <c r="F435" i="1"/>
  <c r="E435" i="1"/>
  <c r="D435" i="1"/>
  <c r="C435" i="1"/>
  <c r="B435" i="1"/>
  <c r="A435" i="1"/>
  <c r="J434" i="1"/>
  <c r="G434" i="1"/>
  <c r="F434" i="1"/>
  <c r="E434" i="1"/>
  <c r="D434" i="1"/>
  <c r="C434" i="1"/>
  <c r="B434" i="1"/>
  <c r="H434" i="1" s="1"/>
  <c r="A434" i="1"/>
  <c r="G433" i="1"/>
  <c r="J433" i="1" s="1"/>
  <c r="F433" i="1"/>
  <c r="E433" i="1"/>
  <c r="D433" i="1"/>
  <c r="C433" i="1"/>
  <c r="B433" i="1"/>
  <c r="A433" i="1"/>
  <c r="G432" i="1"/>
  <c r="J432" i="1" s="1"/>
  <c r="F432" i="1"/>
  <c r="E432" i="1"/>
  <c r="D432" i="1"/>
  <c r="C432" i="1"/>
  <c r="B432" i="1"/>
  <c r="H432" i="1" s="1"/>
  <c r="A432" i="1"/>
  <c r="G431" i="1"/>
  <c r="J431" i="1" s="1"/>
  <c r="F431" i="1"/>
  <c r="E431" i="1"/>
  <c r="D431" i="1"/>
  <c r="C431" i="1"/>
  <c r="H431" i="1" s="1"/>
  <c r="B431" i="1"/>
  <c r="A431" i="1"/>
  <c r="G430" i="1"/>
  <c r="J430" i="1" s="1"/>
  <c r="F430" i="1"/>
  <c r="E430" i="1"/>
  <c r="D430" i="1"/>
  <c r="C430" i="1"/>
  <c r="B430" i="1"/>
  <c r="H430" i="1" s="1"/>
  <c r="A430" i="1"/>
  <c r="G429" i="1"/>
  <c r="J429" i="1" s="1"/>
  <c r="F429" i="1"/>
  <c r="E429" i="1"/>
  <c r="D429" i="1"/>
  <c r="C429" i="1"/>
  <c r="H429" i="1" s="1"/>
  <c r="B429" i="1"/>
  <c r="A429" i="1"/>
  <c r="G428" i="1"/>
  <c r="J428" i="1" s="1"/>
  <c r="F428" i="1"/>
  <c r="E428" i="1"/>
  <c r="D428" i="1"/>
  <c r="C428" i="1"/>
  <c r="B428" i="1"/>
  <c r="H428" i="1" s="1"/>
  <c r="A428" i="1"/>
  <c r="H427" i="1"/>
  <c r="G427" i="1"/>
  <c r="J427" i="1" s="1"/>
  <c r="F427" i="1"/>
  <c r="E427" i="1"/>
  <c r="D427" i="1"/>
  <c r="C427" i="1"/>
  <c r="B427" i="1"/>
  <c r="A427" i="1"/>
  <c r="J426" i="1"/>
  <c r="H426" i="1"/>
  <c r="G426" i="1"/>
  <c r="F426" i="1"/>
  <c r="E426" i="1"/>
  <c r="D426" i="1"/>
  <c r="C426" i="1"/>
  <c r="B426" i="1"/>
  <c r="A426" i="1"/>
  <c r="J425" i="1"/>
  <c r="G425" i="1"/>
  <c r="F425" i="1"/>
  <c r="E425" i="1"/>
  <c r="D425" i="1"/>
  <c r="C425" i="1"/>
  <c r="B425" i="1"/>
  <c r="A425" i="1"/>
  <c r="G424" i="1"/>
  <c r="J424" i="1" s="1"/>
  <c r="F424" i="1"/>
  <c r="E424" i="1"/>
  <c r="D424" i="1"/>
  <c r="C424" i="1"/>
  <c r="B424" i="1"/>
  <c r="H424" i="1" s="1"/>
  <c r="A424" i="1"/>
  <c r="J423" i="1"/>
  <c r="G423" i="1"/>
  <c r="E423" i="1"/>
  <c r="D423" i="1"/>
  <c r="C423" i="1"/>
  <c r="B423" i="1"/>
  <c r="A423" i="1"/>
  <c r="H422" i="1"/>
  <c r="G422" i="1"/>
  <c r="J422" i="1" s="1"/>
  <c r="F422" i="1"/>
  <c r="D422" i="1"/>
  <c r="C422" i="1"/>
  <c r="B422" i="1"/>
  <c r="A422" i="1"/>
  <c r="G421" i="1"/>
  <c r="J421" i="1" s="1"/>
  <c r="F421" i="1"/>
  <c r="E421" i="1"/>
  <c r="D421" i="1"/>
  <c r="C421" i="1"/>
  <c r="A421" i="1"/>
  <c r="G420" i="1"/>
  <c r="J420" i="1" s="1"/>
  <c r="F420" i="1"/>
  <c r="E420" i="1"/>
  <c r="D420" i="1"/>
  <c r="C420" i="1"/>
  <c r="B420" i="1"/>
  <c r="H420" i="1" s="1"/>
  <c r="A420" i="1"/>
  <c r="H419" i="1"/>
  <c r="G419" i="1"/>
  <c r="J419" i="1" s="1"/>
  <c r="F419" i="1"/>
  <c r="E419" i="1"/>
  <c r="D419" i="1"/>
  <c r="C419" i="1"/>
  <c r="B419" i="1"/>
  <c r="A419" i="1"/>
  <c r="J418" i="1"/>
  <c r="G418" i="1"/>
  <c r="F418" i="1"/>
  <c r="D418" i="1"/>
  <c r="C418" i="1"/>
  <c r="B418" i="1"/>
  <c r="A418" i="1"/>
  <c r="G417" i="1"/>
  <c r="J417" i="1" s="1"/>
  <c r="F417" i="1"/>
  <c r="D417" i="1"/>
  <c r="C417" i="1"/>
  <c r="B417" i="1"/>
  <c r="H417" i="1" s="1"/>
  <c r="A417" i="1"/>
  <c r="G416" i="1"/>
  <c r="J416" i="1" s="1"/>
  <c r="F416" i="1"/>
  <c r="D416" i="1"/>
  <c r="C416" i="1"/>
  <c r="B416" i="1"/>
  <c r="A416" i="1"/>
  <c r="G415" i="1"/>
  <c r="J415" i="1" s="1"/>
  <c r="F415" i="1"/>
  <c r="D415" i="1"/>
  <c r="C415" i="1"/>
  <c r="H415" i="1" s="1"/>
  <c r="B415" i="1"/>
  <c r="A415" i="1"/>
  <c r="G414" i="1"/>
  <c r="J414" i="1" s="1"/>
  <c r="F414" i="1"/>
  <c r="D414" i="1"/>
  <c r="C414" i="1"/>
  <c r="B414" i="1"/>
  <c r="A414" i="1"/>
  <c r="G413" i="1"/>
  <c r="J413" i="1" s="1"/>
  <c r="F413" i="1"/>
  <c r="D413" i="1"/>
  <c r="C413" i="1"/>
  <c r="B413" i="1"/>
  <c r="A413" i="1"/>
  <c r="G412" i="1"/>
  <c r="J412" i="1" s="1"/>
  <c r="F412" i="1"/>
  <c r="D412" i="1"/>
  <c r="C412" i="1"/>
  <c r="B412" i="1"/>
  <c r="H412" i="1" s="1"/>
  <c r="A412" i="1"/>
  <c r="G411" i="1"/>
  <c r="J411" i="1" s="1"/>
  <c r="F411" i="1"/>
  <c r="D411" i="1"/>
  <c r="C411" i="1"/>
  <c r="H411" i="1" s="1"/>
  <c r="B411" i="1"/>
  <c r="A411" i="1"/>
  <c r="G410" i="1"/>
  <c r="J410" i="1" s="1"/>
  <c r="F410" i="1"/>
  <c r="D410" i="1"/>
  <c r="C410" i="1"/>
  <c r="B410" i="1"/>
  <c r="H410" i="1" s="1"/>
  <c r="A410" i="1"/>
  <c r="G409" i="1"/>
  <c r="J409" i="1" s="1"/>
  <c r="F409" i="1"/>
  <c r="D409" i="1"/>
  <c r="C409" i="1"/>
  <c r="B409" i="1"/>
  <c r="A409" i="1"/>
  <c r="G408" i="1"/>
  <c r="J408" i="1" s="1"/>
  <c r="F408" i="1"/>
  <c r="D408" i="1"/>
  <c r="C408" i="1"/>
  <c r="B408" i="1"/>
  <c r="H408" i="1" s="1"/>
  <c r="A408" i="1"/>
  <c r="G407" i="1"/>
  <c r="J407" i="1" s="1"/>
  <c r="F407" i="1"/>
  <c r="E407" i="1"/>
  <c r="D407" i="1"/>
  <c r="C407" i="1"/>
  <c r="H407" i="1" s="1"/>
  <c r="B407" i="1"/>
  <c r="A407" i="1"/>
  <c r="G406" i="1"/>
  <c r="J406" i="1" s="1"/>
  <c r="F406" i="1"/>
  <c r="E406" i="1"/>
  <c r="D406" i="1"/>
  <c r="C406" i="1"/>
  <c r="B406" i="1"/>
  <c r="H406" i="1" s="1"/>
  <c r="A406" i="1"/>
  <c r="J405" i="1"/>
  <c r="G405" i="1"/>
  <c r="F405" i="1"/>
  <c r="E405" i="1"/>
  <c r="D405" i="1"/>
  <c r="C405" i="1"/>
  <c r="B405" i="1"/>
  <c r="A405" i="1"/>
  <c r="H404" i="1"/>
  <c r="G404" i="1"/>
  <c r="J404" i="1" s="1"/>
  <c r="F404" i="1"/>
  <c r="D404" i="1"/>
  <c r="C404" i="1"/>
  <c r="B404" i="1"/>
  <c r="A404" i="1"/>
  <c r="J403" i="1"/>
  <c r="H403" i="1"/>
  <c r="G403" i="1"/>
  <c r="F403" i="1"/>
  <c r="E403" i="1"/>
  <c r="D403" i="1"/>
  <c r="C403" i="1"/>
  <c r="B403" i="1"/>
  <c r="A403" i="1"/>
  <c r="J402" i="1"/>
  <c r="G402" i="1"/>
  <c r="F402" i="1"/>
  <c r="D402" i="1"/>
  <c r="C402" i="1"/>
  <c r="B402" i="1"/>
  <c r="H402" i="1" s="1"/>
  <c r="A402" i="1"/>
  <c r="G401" i="1"/>
  <c r="J401" i="1" s="1"/>
  <c r="F401" i="1"/>
  <c r="E401" i="1"/>
  <c r="D401" i="1"/>
  <c r="C401" i="1"/>
  <c r="B401" i="1"/>
  <c r="H401" i="1" s="1"/>
  <c r="A401" i="1"/>
  <c r="G400" i="1"/>
  <c r="J400" i="1" s="1"/>
  <c r="F400" i="1"/>
  <c r="D400" i="1"/>
  <c r="C400" i="1"/>
  <c r="H400" i="1" s="1"/>
  <c r="B400" i="1"/>
  <c r="A400" i="1"/>
  <c r="G399" i="1"/>
  <c r="J399" i="1" s="1"/>
  <c r="F399" i="1"/>
  <c r="E399" i="1"/>
  <c r="D399" i="1"/>
  <c r="C399" i="1"/>
  <c r="H399" i="1" s="1"/>
  <c r="B399" i="1"/>
  <c r="A399" i="1"/>
  <c r="G398" i="1"/>
  <c r="J398" i="1" s="1"/>
  <c r="F398" i="1"/>
  <c r="E398" i="1"/>
  <c r="D398" i="1"/>
  <c r="C398" i="1"/>
  <c r="B398" i="1"/>
  <c r="H398" i="1" s="1"/>
  <c r="A398" i="1"/>
  <c r="G397" i="1"/>
  <c r="J397" i="1" s="1"/>
  <c r="F397" i="1"/>
  <c r="E397" i="1"/>
  <c r="D397" i="1"/>
  <c r="C397" i="1"/>
  <c r="B397" i="1"/>
  <c r="A397" i="1"/>
  <c r="G396" i="1"/>
  <c r="J396" i="1" s="1"/>
  <c r="F396" i="1"/>
  <c r="D396" i="1"/>
  <c r="C396" i="1"/>
  <c r="B396" i="1"/>
  <c r="A396" i="1"/>
  <c r="J395" i="1"/>
  <c r="G395" i="1"/>
  <c r="F395" i="1"/>
  <c r="E395" i="1"/>
  <c r="D395" i="1"/>
  <c r="C395" i="1"/>
  <c r="B395" i="1"/>
  <c r="A395" i="1"/>
  <c r="G394" i="1"/>
  <c r="J394" i="1" s="1"/>
  <c r="F394" i="1"/>
  <c r="D394" i="1"/>
  <c r="C394" i="1"/>
  <c r="B394" i="1"/>
  <c r="A394" i="1"/>
  <c r="G393" i="1"/>
  <c r="J393" i="1" s="1"/>
  <c r="F393" i="1"/>
  <c r="E393" i="1"/>
  <c r="D393" i="1"/>
  <c r="C393" i="1"/>
  <c r="B393" i="1"/>
  <c r="A393" i="1"/>
  <c r="G392" i="1"/>
  <c r="J392" i="1" s="1"/>
  <c r="F392" i="1"/>
  <c r="D392" i="1"/>
  <c r="C392" i="1"/>
  <c r="B392" i="1"/>
  <c r="A392" i="1"/>
  <c r="J391" i="1"/>
  <c r="G391" i="1"/>
  <c r="F391" i="1"/>
  <c r="D391" i="1"/>
  <c r="C391" i="1"/>
  <c r="B391" i="1"/>
  <c r="A391" i="1"/>
  <c r="H390" i="1"/>
  <c r="G390" i="1"/>
  <c r="J390" i="1" s="1"/>
  <c r="F390" i="1"/>
  <c r="D390" i="1"/>
  <c r="C390" i="1"/>
  <c r="B390" i="1"/>
  <c r="A390" i="1"/>
  <c r="J389" i="1"/>
  <c r="G389" i="1"/>
  <c r="F389" i="1"/>
  <c r="D389" i="1"/>
  <c r="C389" i="1"/>
  <c r="H389" i="1" s="1"/>
  <c r="B389" i="1"/>
  <c r="A389" i="1"/>
  <c r="G388" i="1"/>
  <c r="J388" i="1" s="1"/>
  <c r="F388" i="1"/>
  <c r="D388" i="1"/>
  <c r="C388" i="1"/>
  <c r="B388" i="1"/>
  <c r="A388" i="1"/>
  <c r="G387" i="1"/>
  <c r="J387" i="1" s="1"/>
  <c r="F387" i="1"/>
  <c r="D387" i="1"/>
  <c r="C387" i="1"/>
  <c r="H387" i="1" s="1"/>
  <c r="B387" i="1"/>
  <c r="A387" i="1"/>
  <c r="J386" i="1"/>
  <c r="G386" i="1"/>
  <c r="F386" i="1"/>
  <c r="D386" i="1"/>
  <c r="C386" i="1"/>
  <c r="B386" i="1"/>
  <c r="H386" i="1" s="1"/>
  <c r="A386" i="1"/>
  <c r="G385" i="1"/>
  <c r="J385" i="1" s="1"/>
  <c r="F385" i="1"/>
  <c r="D385" i="1"/>
  <c r="C385" i="1"/>
  <c r="B385" i="1"/>
  <c r="A385" i="1"/>
  <c r="G384" i="1"/>
  <c r="J384" i="1" s="1"/>
  <c r="F384" i="1"/>
  <c r="D384" i="1"/>
  <c r="C384" i="1"/>
  <c r="B384" i="1"/>
  <c r="H384" i="1" s="1"/>
  <c r="A384" i="1"/>
  <c r="G383" i="1"/>
  <c r="J383" i="1" s="1"/>
  <c r="F383" i="1"/>
  <c r="D383" i="1"/>
  <c r="C383" i="1"/>
  <c r="B383" i="1"/>
  <c r="A383" i="1"/>
  <c r="G382" i="1"/>
  <c r="J382" i="1" s="1"/>
  <c r="F382" i="1"/>
  <c r="D382" i="1"/>
  <c r="C382" i="1"/>
  <c r="B382" i="1"/>
  <c r="A382" i="1"/>
  <c r="G381" i="1"/>
  <c r="J381" i="1" s="1"/>
  <c r="F381" i="1"/>
  <c r="D381" i="1"/>
  <c r="C381" i="1"/>
  <c r="B381" i="1"/>
  <c r="A381" i="1"/>
  <c r="G380" i="1"/>
  <c r="J380" i="1" s="1"/>
  <c r="F380" i="1"/>
  <c r="D380" i="1"/>
  <c r="C380" i="1"/>
  <c r="B380" i="1"/>
  <c r="H380" i="1" s="1"/>
  <c r="A380" i="1"/>
  <c r="G379" i="1"/>
  <c r="J379" i="1" s="1"/>
  <c r="F379" i="1"/>
  <c r="D379" i="1"/>
  <c r="C379" i="1"/>
  <c r="B379" i="1"/>
  <c r="A379" i="1"/>
  <c r="G378" i="1"/>
  <c r="J378" i="1" s="1"/>
  <c r="F378" i="1"/>
  <c r="D378" i="1"/>
  <c r="C378" i="1"/>
  <c r="B378" i="1"/>
  <c r="A378" i="1"/>
  <c r="G377" i="1"/>
  <c r="J377" i="1" s="1"/>
  <c r="F377" i="1"/>
  <c r="D377" i="1"/>
  <c r="C377" i="1"/>
  <c r="B377" i="1"/>
  <c r="H377" i="1" s="1"/>
  <c r="A377" i="1"/>
  <c r="G376" i="1"/>
  <c r="J376" i="1" s="1"/>
  <c r="F376" i="1"/>
  <c r="D376" i="1"/>
  <c r="C376" i="1"/>
  <c r="B376" i="1"/>
  <c r="H376" i="1" s="1"/>
  <c r="A376" i="1"/>
  <c r="G375" i="1"/>
  <c r="J375" i="1" s="1"/>
  <c r="F375" i="1"/>
  <c r="D375" i="1"/>
  <c r="C375" i="1"/>
  <c r="H375" i="1" s="1"/>
  <c r="B375" i="1"/>
  <c r="A375" i="1"/>
  <c r="G374" i="1"/>
  <c r="J374" i="1" s="1"/>
  <c r="F374" i="1"/>
  <c r="D374" i="1"/>
  <c r="C374" i="1"/>
  <c r="B374" i="1"/>
  <c r="A374" i="1"/>
  <c r="G373" i="1"/>
  <c r="J373" i="1" s="1"/>
  <c r="F373" i="1"/>
  <c r="D373" i="1"/>
  <c r="C373" i="1"/>
  <c r="B373" i="1"/>
  <c r="A373" i="1"/>
  <c r="G372" i="1"/>
  <c r="J372" i="1" s="1"/>
  <c r="F372" i="1"/>
  <c r="D372" i="1"/>
  <c r="C372" i="1"/>
  <c r="B372" i="1"/>
  <c r="H372" i="1" s="1"/>
  <c r="A372" i="1"/>
  <c r="J371" i="1"/>
  <c r="G371" i="1"/>
  <c r="F371" i="1"/>
  <c r="D371" i="1"/>
  <c r="C371" i="1"/>
  <c r="B371" i="1"/>
  <c r="A371" i="1"/>
  <c r="G370" i="1"/>
  <c r="J370" i="1" s="1"/>
  <c r="F370" i="1"/>
  <c r="D370" i="1"/>
  <c r="C370" i="1"/>
  <c r="B370" i="1"/>
  <c r="A370" i="1"/>
  <c r="G369" i="1"/>
  <c r="J369" i="1" s="1"/>
  <c r="F369" i="1"/>
  <c r="D369" i="1"/>
  <c r="C369" i="1"/>
  <c r="B369" i="1"/>
  <c r="A369" i="1"/>
  <c r="G368" i="1"/>
  <c r="J368" i="1" s="1"/>
  <c r="F368" i="1"/>
  <c r="D368" i="1"/>
  <c r="C368" i="1"/>
  <c r="B368" i="1"/>
  <c r="H368" i="1" s="1"/>
  <c r="A368" i="1"/>
  <c r="J367" i="1"/>
  <c r="G367" i="1"/>
  <c r="F367" i="1"/>
  <c r="E367" i="1"/>
  <c r="D367" i="1"/>
  <c r="C367" i="1"/>
  <c r="B367" i="1"/>
  <c r="A367" i="1"/>
  <c r="G366" i="1"/>
  <c r="J366" i="1" s="1"/>
  <c r="F366" i="1"/>
  <c r="E366" i="1"/>
  <c r="D366" i="1"/>
  <c r="C366" i="1"/>
  <c r="B366" i="1"/>
  <c r="H366" i="1" s="1"/>
  <c r="A366" i="1"/>
  <c r="J365" i="1"/>
  <c r="G365" i="1"/>
  <c r="F365" i="1"/>
  <c r="E365" i="1"/>
  <c r="D365" i="1"/>
  <c r="C365" i="1"/>
  <c r="B365" i="1"/>
  <c r="A365" i="1"/>
  <c r="G364" i="1"/>
  <c r="J364" i="1" s="1"/>
  <c r="F364" i="1"/>
  <c r="D364" i="1"/>
  <c r="C364" i="1"/>
  <c r="B364" i="1"/>
  <c r="H364" i="1" s="1"/>
  <c r="A364" i="1"/>
  <c r="J363" i="1"/>
  <c r="G363" i="1"/>
  <c r="F363" i="1"/>
  <c r="E363" i="1"/>
  <c r="D363" i="1"/>
  <c r="C363" i="1"/>
  <c r="B363" i="1"/>
  <c r="H363" i="1" s="1"/>
  <c r="A363" i="1"/>
  <c r="J362" i="1"/>
  <c r="G362" i="1"/>
  <c r="F362" i="1"/>
  <c r="D362" i="1"/>
  <c r="C362" i="1"/>
  <c r="B362" i="1"/>
  <c r="H362" i="1" s="1"/>
  <c r="A362" i="1"/>
  <c r="J361" i="1"/>
  <c r="G361" i="1"/>
  <c r="F361" i="1"/>
  <c r="E361" i="1"/>
  <c r="D361" i="1"/>
  <c r="C361" i="1"/>
  <c r="B361" i="1"/>
  <c r="A361" i="1"/>
  <c r="G360" i="1"/>
  <c r="J360" i="1" s="1"/>
  <c r="F360" i="1"/>
  <c r="D360" i="1"/>
  <c r="C360" i="1"/>
  <c r="B360" i="1"/>
  <c r="H360" i="1" s="1"/>
  <c r="A360" i="1"/>
  <c r="G359" i="1"/>
  <c r="J359" i="1" s="1"/>
  <c r="F359" i="1"/>
  <c r="D359" i="1"/>
  <c r="C359" i="1"/>
  <c r="H359" i="1" s="1"/>
  <c r="B359" i="1"/>
  <c r="A359" i="1"/>
  <c r="H358" i="1"/>
  <c r="G358" i="1"/>
  <c r="J358" i="1" s="1"/>
  <c r="F358" i="1"/>
  <c r="D358" i="1"/>
  <c r="C358" i="1"/>
  <c r="B358" i="1"/>
  <c r="A358" i="1"/>
  <c r="G357" i="1"/>
  <c r="J357" i="1" s="1"/>
  <c r="F357" i="1"/>
  <c r="D357" i="1"/>
  <c r="C357" i="1"/>
  <c r="H357" i="1" s="1"/>
  <c r="B357" i="1"/>
  <c r="A357" i="1"/>
  <c r="G356" i="1"/>
  <c r="J356" i="1" s="1"/>
  <c r="F356" i="1"/>
  <c r="D356" i="1"/>
  <c r="C356" i="1"/>
  <c r="B356" i="1"/>
  <c r="H356" i="1" s="1"/>
  <c r="A356" i="1"/>
  <c r="G355" i="1"/>
  <c r="J355" i="1" s="1"/>
  <c r="F355" i="1"/>
  <c r="D355" i="1"/>
  <c r="C355" i="1"/>
  <c r="B355" i="1"/>
  <c r="H355" i="1" s="1"/>
  <c r="A355" i="1"/>
  <c r="J354" i="1"/>
  <c r="G354" i="1"/>
  <c r="F354" i="1"/>
  <c r="D354" i="1"/>
  <c r="C354" i="1"/>
  <c r="B354" i="1"/>
  <c r="H354" i="1" s="1"/>
  <c r="A354" i="1"/>
  <c r="G353" i="1"/>
  <c r="J353" i="1" s="1"/>
  <c r="F353" i="1"/>
  <c r="D353" i="1"/>
  <c r="C353" i="1"/>
  <c r="B353" i="1"/>
  <c r="H353" i="1" s="1"/>
  <c r="A353" i="1"/>
  <c r="G352" i="1"/>
  <c r="J352" i="1" s="1"/>
  <c r="F352" i="1"/>
  <c r="D352" i="1"/>
  <c r="C352" i="1"/>
  <c r="H352" i="1" s="1"/>
  <c r="B352" i="1"/>
  <c r="A352" i="1"/>
  <c r="G351" i="1"/>
  <c r="J351" i="1" s="1"/>
  <c r="F351" i="1"/>
  <c r="D351" i="1"/>
  <c r="C351" i="1"/>
  <c r="H351" i="1" s="1"/>
  <c r="B351" i="1"/>
  <c r="A351" i="1"/>
  <c r="G350" i="1"/>
  <c r="J350" i="1" s="1"/>
  <c r="F350" i="1"/>
  <c r="D350" i="1"/>
  <c r="C350" i="1"/>
  <c r="B350" i="1"/>
  <c r="H350" i="1" s="1"/>
  <c r="A350" i="1"/>
  <c r="G349" i="1"/>
  <c r="J349" i="1" s="1"/>
  <c r="F349" i="1"/>
  <c r="D349" i="1"/>
  <c r="C349" i="1"/>
  <c r="B349" i="1"/>
  <c r="A349" i="1"/>
  <c r="G348" i="1"/>
  <c r="J348" i="1" s="1"/>
  <c r="F348" i="1"/>
  <c r="D348" i="1"/>
  <c r="C348" i="1"/>
  <c r="B348" i="1"/>
  <c r="A348" i="1"/>
  <c r="G347" i="1"/>
  <c r="J347" i="1" s="1"/>
  <c r="F347" i="1"/>
  <c r="D347" i="1"/>
  <c r="C347" i="1"/>
  <c r="B347" i="1"/>
  <c r="A347" i="1"/>
  <c r="J346" i="1"/>
  <c r="G346" i="1"/>
  <c r="F346" i="1"/>
  <c r="D346" i="1"/>
  <c r="C346" i="1"/>
  <c r="B346" i="1"/>
  <c r="A346" i="1"/>
  <c r="G345" i="1"/>
  <c r="J345" i="1" s="1"/>
  <c r="F345" i="1"/>
  <c r="D345" i="1"/>
  <c r="C345" i="1"/>
  <c r="B345" i="1"/>
  <c r="A345" i="1"/>
  <c r="G344" i="1"/>
  <c r="J344" i="1" s="1"/>
  <c r="F344" i="1"/>
  <c r="D344" i="1"/>
  <c r="C344" i="1"/>
  <c r="B344" i="1"/>
  <c r="A344" i="1"/>
  <c r="G343" i="1"/>
  <c r="J343" i="1" s="1"/>
  <c r="F343" i="1"/>
  <c r="D343" i="1"/>
  <c r="C343" i="1"/>
  <c r="H343" i="1" s="1"/>
  <c r="B343" i="1"/>
  <c r="A343" i="1"/>
  <c r="G342" i="1"/>
  <c r="J342" i="1" s="1"/>
  <c r="F342" i="1"/>
  <c r="D342" i="1"/>
  <c r="C342" i="1"/>
  <c r="B342" i="1"/>
  <c r="H342" i="1" s="1"/>
  <c r="A342" i="1"/>
  <c r="G341" i="1"/>
  <c r="J341" i="1" s="1"/>
  <c r="F341" i="1"/>
  <c r="D341" i="1"/>
  <c r="C341" i="1"/>
  <c r="B341" i="1"/>
  <c r="H341" i="1" s="1"/>
  <c r="A341" i="1"/>
  <c r="J340" i="1"/>
  <c r="G340" i="1"/>
  <c r="F340" i="1"/>
  <c r="D340" i="1"/>
  <c r="C340" i="1"/>
  <c r="B340" i="1"/>
  <c r="H340" i="1" s="1"/>
  <c r="A340" i="1"/>
  <c r="J339" i="1"/>
  <c r="G339" i="1"/>
  <c r="F339" i="1"/>
  <c r="E339" i="1"/>
  <c r="D339" i="1"/>
  <c r="C339" i="1"/>
  <c r="B339" i="1"/>
  <c r="H339" i="1" s="1"/>
  <c r="A339" i="1"/>
  <c r="J338" i="1"/>
  <c r="G338" i="1"/>
  <c r="F338" i="1"/>
  <c r="D338" i="1"/>
  <c r="C338" i="1"/>
  <c r="B338" i="1"/>
  <c r="H338" i="1" s="1"/>
  <c r="A338" i="1"/>
  <c r="J337" i="1"/>
  <c r="G337" i="1"/>
  <c r="F337" i="1"/>
  <c r="E337" i="1"/>
  <c r="D337" i="1"/>
  <c r="C337" i="1"/>
  <c r="B337" i="1"/>
  <c r="A337" i="1"/>
  <c r="G336" i="1"/>
  <c r="J336" i="1" s="1"/>
  <c r="F336" i="1"/>
  <c r="E336" i="1"/>
  <c r="D336" i="1"/>
  <c r="C336" i="1"/>
  <c r="B336" i="1"/>
  <c r="H336" i="1" s="1"/>
  <c r="A336" i="1"/>
  <c r="J335" i="1"/>
  <c r="G335" i="1"/>
  <c r="F335" i="1"/>
  <c r="E335" i="1"/>
  <c r="D335" i="1"/>
  <c r="C335" i="1"/>
  <c r="B335" i="1"/>
  <c r="A335" i="1"/>
  <c r="G334" i="1"/>
  <c r="J334" i="1" s="1"/>
  <c r="F334" i="1"/>
  <c r="E334" i="1"/>
  <c r="D334" i="1"/>
  <c r="C334" i="1"/>
  <c r="B334" i="1"/>
  <c r="H334" i="1" s="1"/>
  <c r="A334" i="1"/>
  <c r="J333" i="1"/>
  <c r="G333" i="1"/>
  <c r="F333" i="1"/>
  <c r="D333" i="1"/>
  <c r="C333" i="1"/>
  <c r="B333" i="1"/>
  <c r="A333" i="1"/>
  <c r="G332" i="1"/>
  <c r="J332" i="1" s="1"/>
  <c r="F332" i="1"/>
  <c r="D332" i="1"/>
  <c r="C332" i="1"/>
  <c r="B332" i="1"/>
  <c r="A332" i="1"/>
  <c r="G331" i="1"/>
  <c r="J331" i="1" s="1"/>
  <c r="F331" i="1"/>
  <c r="D331" i="1"/>
  <c r="C331" i="1"/>
  <c r="B331" i="1"/>
  <c r="A331" i="1"/>
  <c r="G330" i="1"/>
  <c r="J330" i="1" s="1"/>
  <c r="F330" i="1"/>
  <c r="D330" i="1"/>
  <c r="C330" i="1"/>
  <c r="B330" i="1"/>
  <c r="H330" i="1" s="1"/>
  <c r="A330" i="1"/>
  <c r="G329" i="1"/>
  <c r="J329" i="1" s="1"/>
  <c r="F329" i="1"/>
  <c r="D329" i="1"/>
  <c r="C329" i="1"/>
  <c r="B329" i="1"/>
  <c r="H329" i="1" s="1"/>
  <c r="A329" i="1"/>
  <c r="G328" i="1"/>
  <c r="J328" i="1" s="1"/>
  <c r="F328" i="1"/>
  <c r="D328" i="1"/>
  <c r="C328" i="1"/>
  <c r="B328" i="1"/>
  <c r="H328" i="1" s="1"/>
  <c r="A328" i="1"/>
  <c r="G327" i="1"/>
  <c r="J327" i="1" s="1"/>
  <c r="F327" i="1"/>
  <c r="D327" i="1"/>
  <c r="C327" i="1"/>
  <c r="H327" i="1" s="1"/>
  <c r="B327" i="1"/>
  <c r="A327" i="1"/>
  <c r="G326" i="1"/>
  <c r="J326" i="1" s="1"/>
  <c r="F326" i="1"/>
  <c r="D326" i="1"/>
  <c r="C326" i="1"/>
  <c r="B326" i="1"/>
  <c r="H326" i="1" s="1"/>
  <c r="A326" i="1"/>
  <c r="G325" i="1"/>
  <c r="J325" i="1" s="1"/>
  <c r="F325" i="1"/>
  <c r="D325" i="1"/>
  <c r="C325" i="1"/>
  <c r="B325" i="1"/>
  <c r="A325" i="1"/>
  <c r="J324" i="1"/>
  <c r="G324" i="1"/>
  <c r="F324" i="1"/>
  <c r="D324" i="1"/>
  <c r="C324" i="1"/>
  <c r="B324" i="1"/>
  <c r="H324" i="1" s="1"/>
  <c r="A324" i="1"/>
  <c r="J323" i="1"/>
  <c r="G323" i="1"/>
  <c r="F323" i="1"/>
  <c r="E323" i="1"/>
  <c r="D323" i="1"/>
  <c r="C323" i="1"/>
  <c r="B323" i="1"/>
  <c r="H323" i="1" s="1"/>
  <c r="A323" i="1"/>
  <c r="J322" i="1"/>
  <c r="G322" i="1"/>
  <c r="F322" i="1"/>
  <c r="D322" i="1"/>
  <c r="C322" i="1"/>
  <c r="B322" i="1"/>
  <c r="H322" i="1" s="1"/>
  <c r="A322" i="1"/>
  <c r="G321" i="1"/>
  <c r="J321" i="1" s="1"/>
  <c r="F321" i="1"/>
  <c r="E321" i="1"/>
  <c r="D321" i="1"/>
  <c r="C321" i="1"/>
  <c r="B321" i="1"/>
  <c r="H321" i="1" s="1"/>
  <c r="A321" i="1"/>
  <c r="H320" i="1"/>
  <c r="G320" i="1"/>
  <c r="J320" i="1" s="1"/>
  <c r="F320" i="1"/>
  <c r="E320" i="1"/>
  <c r="D320" i="1"/>
  <c r="C320" i="1"/>
  <c r="B320" i="1"/>
  <c r="A320" i="1"/>
  <c r="G319" i="1"/>
  <c r="J319" i="1" s="1"/>
  <c r="F319" i="1"/>
  <c r="E319" i="1"/>
  <c r="D319" i="1"/>
  <c r="C319" i="1"/>
  <c r="H319" i="1" s="1"/>
  <c r="B319" i="1"/>
  <c r="A319" i="1"/>
  <c r="H318" i="1"/>
  <c r="G318" i="1"/>
  <c r="J318" i="1" s="1"/>
  <c r="F318" i="1"/>
  <c r="E318" i="1"/>
  <c r="D318" i="1"/>
  <c r="C318" i="1"/>
  <c r="B318" i="1"/>
  <c r="A318" i="1"/>
  <c r="J317" i="1"/>
  <c r="H317" i="1"/>
  <c r="G317" i="1"/>
  <c r="F317" i="1"/>
  <c r="E317" i="1"/>
  <c r="D317" i="1"/>
  <c r="C317" i="1"/>
  <c r="B317" i="1"/>
  <c r="A317" i="1"/>
  <c r="G316" i="1"/>
  <c r="J316" i="1" s="1"/>
  <c r="F316" i="1"/>
  <c r="D316" i="1"/>
  <c r="C316" i="1"/>
  <c r="B316" i="1"/>
  <c r="H316" i="1" s="1"/>
  <c r="A316" i="1"/>
  <c r="G315" i="1"/>
  <c r="J315" i="1" s="1"/>
  <c r="F315" i="1"/>
  <c r="D315" i="1"/>
  <c r="C315" i="1"/>
  <c r="B315" i="1"/>
  <c r="A315" i="1"/>
  <c r="J314" i="1"/>
  <c r="G314" i="1"/>
  <c r="F314" i="1"/>
  <c r="D314" i="1"/>
  <c r="C314" i="1"/>
  <c r="H314" i="1" s="1"/>
  <c r="B314" i="1"/>
  <c r="A314" i="1"/>
  <c r="G313" i="1"/>
  <c r="J313" i="1" s="1"/>
  <c r="F313" i="1"/>
  <c r="D313" i="1"/>
  <c r="C313" i="1"/>
  <c r="B313" i="1"/>
  <c r="A313" i="1"/>
  <c r="G312" i="1"/>
  <c r="J312" i="1" s="1"/>
  <c r="F312" i="1"/>
  <c r="D312" i="1"/>
  <c r="C312" i="1"/>
  <c r="B312" i="1"/>
  <c r="A312" i="1"/>
  <c r="G311" i="1"/>
  <c r="J311" i="1" s="1"/>
  <c r="F311" i="1"/>
  <c r="D311" i="1"/>
  <c r="C311" i="1"/>
  <c r="H311" i="1" s="1"/>
  <c r="B311" i="1"/>
  <c r="A311" i="1"/>
  <c r="G310" i="1"/>
  <c r="J310" i="1" s="1"/>
  <c r="F310" i="1"/>
  <c r="D310" i="1"/>
  <c r="C310" i="1"/>
  <c r="B310" i="1"/>
  <c r="A310" i="1"/>
  <c r="G309" i="1"/>
  <c r="J309" i="1" s="1"/>
  <c r="F309" i="1"/>
  <c r="D309" i="1"/>
  <c r="C309" i="1"/>
  <c r="B309" i="1"/>
  <c r="H309" i="1" s="1"/>
  <c r="A309" i="1"/>
  <c r="J308" i="1"/>
  <c r="G308" i="1"/>
  <c r="F308" i="1"/>
  <c r="D308" i="1"/>
  <c r="C308" i="1"/>
  <c r="B308" i="1"/>
  <c r="H308" i="1" s="1"/>
  <c r="A308" i="1"/>
  <c r="J307" i="1"/>
  <c r="G307" i="1"/>
  <c r="F307" i="1"/>
  <c r="E307" i="1"/>
  <c r="D307" i="1"/>
  <c r="C307" i="1"/>
  <c r="B307" i="1"/>
  <c r="H307" i="1" s="1"/>
  <c r="A307" i="1"/>
  <c r="G306" i="1"/>
  <c r="J306" i="1" s="1"/>
  <c r="F306" i="1"/>
  <c r="D306" i="1"/>
  <c r="C306" i="1"/>
  <c r="B306" i="1"/>
  <c r="H306" i="1" s="1"/>
  <c r="A306" i="1"/>
  <c r="J305" i="1"/>
  <c r="G305" i="1"/>
  <c r="F305" i="1"/>
  <c r="E305" i="1"/>
  <c r="D305" i="1"/>
  <c r="C305" i="1"/>
  <c r="B305" i="1"/>
  <c r="A305" i="1"/>
  <c r="H304" i="1"/>
  <c r="G304" i="1"/>
  <c r="J304" i="1" s="1"/>
  <c r="F304" i="1"/>
  <c r="E304" i="1"/>
  <c r="D304" i="1"/>
  <c r="C304" i="1"/>
  <c r="B304" i="1"/>
  <c r="A304" i="1"/>
  <c r="J303" i="1"/>
  <c r="G303" i="1"/>
  <c r="F303" i="1"/>
  <c r="E303" i="1"/>
  <c r="D303" i="1"/>
  <c r="C303" i="1"/>
  <c r="B303" i="1"/>
  <c r="A303" i="1"/>
  <c r="H302" i="1"/>
  <c r="G302" i="1"/>
  <c r="J302" i="1" s="1"/>
  <c r="F302" i="1"/>
  <c r="E302" i="1"/>
  <c r="D302" i="1"/>
  <c r="C302" i="1"/>
  <c r="B302" i="1"/>
  <c r="A302" i="1"/>
  <c r="J301" i="1"/>
  <c r="G301" i="1"/>
  <c r="F301" i="1"/>
  <c r="D301" i="1"/>
  <c r="C301" i="1"/>
  <c r="H301" i="1" s="1"/>
  <c r="B301" i="1"/>
  <c r="A301" i="1"/>
  <c r="G300" i="1"/>
  <c r="J300" i="1" s="1"/>
  <c r="F300" i="1"/>
  <c r="D300" i="1"/>
  <c r="C300" i="1"/>
  <c r="B300" i="1"/>
  <c r="A300" i="1"/>
  <c r="G299" i="1"/>
  <c r="J299" i="1" s="1"/>
  <c r="F299" i="1"/>
  <c r="D299" i="1"/>
  <c r="C299" i="1"/>
  <c r="B299" i="1"/>
  <c r="A299" i="1"/>
  <c r="J298" i="1"/>
  <c r="G298" i="1"/>
  <c r="F298" i="1"/>
  <c r="D298" i="1"/>
  <c r="C298" i="1"/>
  <c r="B298" i="1"/>
  <c r="H298" i="1" s="1"/>
  <c r="A298" i="1"/>
  <c r="G297" i="1"/>
  <c r="J297" i="1" s="1"/>
  <c r="F297" i="1"/>
  <c r="D297" i="1"/>
  <c r="C297" i="1"/>
  <c r="B297" i="1"/>
  <c r="H297" i="1" s="1"/>
  <c r="A297" i="1"/>
  <c r="G296" i="1"/>
  <c r="J296" i="1" s="1"/>
  <c r="F296" i="1"/>
  <c r="D296" i="1"/>
  <c r="C296" i="1"/>
  <c r="B296" i="1"/>
  <c r="A296" i="1"/>
  <c r="G295" i="1"/>
  <c r="J295" i="1" s="1"/>
  <c r="F295" i="1"/>
  <c r="D295" i="1"/>
  <c r="C295" i="1"/>
  <c r="B295" i="1"/>
  <c r="A295" i="1"/>
  <c r="G294" i="1"/>
  <c r="J294" i="1" s="1"/>
  <c r="F294" i="1"/>
  <c r="D294" i="1"/>
  <c r="C294" i="1"/>
  <c r="B294" i="1"/>
  <c r="H294" i="1" s="1"/>
  <c r="A294" i="1"/>
  <c r="G293" i="1"/>
  <c r="J293" i="1" s="1"/>
  <c r="F293" i="1"/>
  <c r="D293" i="1"/>
  <c r="C293" i="1"/>
  <c r="B293" i="1"/>
  <c r="A293" i="1"/>
  <c r="G292" i="1"/>
  <c r="J292" i="1" s="1"/>
  <c r="F292" i="1"/>
  <c r="D292" i="1"/>
  <c r="C292" i="1"/>
  <c r="B292" i="1"/>
  <c r="A292" i="1"/>
  <c r="G291" i="1"/>
  <c r="J291" i="1" s="1"/>
  <c r="F291" i="1"/>
  <c r="E291" i="1"/>
  <c r="D291" i="1"/>
  <c r="C291" i="1"/>
  <c r="B291" i="1"/>
  <c r="A291" i="1"/>
  <c r="G290" i="1"/>
  <c r="J290" i="1" s="1"/>
  <c r="F290" i="1"/>
  <c r="D290" i="1"/>
  <c r="C290" i="1"/>
  <c r="B290" i="1"/>
  <c r="H290" i="1" s="1"/>
  <c r="A290" i="1"/>
  <c r="G289" i="1"/>
  <c r="J289" i="1" s="1"/>
  <c r="F289" i="1"/>
  <c r="E289" i="1"/>
  <c r="D289" i="1"/>
  <c r="C289" i="1"/>
  <c r="B289" i="1"/>
  <c r="A289" i="1"/>
  <c r="G288" i="1"/>
  <c r="J288" i="1" s="1"/>
  <c r="F288" i="1"/>
  <c r="E288" i="1"/>
  <c r="D288" i="1"/>
  <c r="C288" i="1"/>
  <c r="B288" i="1"/>
  <c r="H288" i="1" s="1"/>
  <c r="A288" i="1"/>
  <c r="G287" i="1"/>
  <c r="J287" i="1" s="1"/>
  <c r="F287" i="1"/>
  <c r="E287" i="1"/>
  <c r="D287" i="1"/>
  <c r="C287" i="1"/>
  <c r="B287" i="1"/>
  <c r="A287" i="1"/>
  <c r="G286" i="1"/>
  <c r="J286" i="1" s="1"/>
  <c r="F286" i="1"/>
  <c r="E286" i="1"/>
  <c r="D286" i="1"/>
  <c r="C286" i="1"/>
  <c r="B286" i="1"/>
  <c r="H286" i="1" s="1"/>
  <c r="A286" i="1"/>
  <c r="J285" i="1"/>
  <c r="G285" i="1"/>
  <c r="F285" i="1"/>
  <c r="E285" i="1"/>
  <c r="D285" i="1"/>
  <c r="C285" i="1"/>
  <c r="B285" i="1"/>
  <c r="H285" i="1" s="1"/>
  <c r="A285" i="1"/>
  <c r="G284" i="1"/>
  <c r="J284" i="1" s="1"/>
  <c r="F284" i="1"/>
  <c r="D284" i="1"/>
  <c r="C284" i="1"/>
  <c r="B284" i="1"/>
  <c r="H284" i="1" s="1"/>
  <c r="A284" i="1"/>
  <c r="G283" i="1"/>
  <c r="J283" i="1" s="1"/>
  <c r="F283" i="1"/>
  <c r="D283" i="1"/>
  <c r="C283" i="1"/>
  <c r="B283" i="1"/>
  <c r="H283" i="1" s="1"/>
  <c r="A283" i="1"/>
  <c r="G282" i="1"/>
  <c r="J282" i="1" s="1"/>
  <c r="F282" i="1"/>
  <c r="D282" i="1"/>
  <c r="C282" i="1"/>
  <c r="H282" i="1" s="1"/>
  <c r="B282" i="1"/>
  <c r="A282" i="1"/>
  <c r="G281" i="1"/>
  <c r="J281" i="1" s="1"/>
  <c r="F281" i="1"/>
  <c r="D281" i="1"/>
  <c r="C281" i="1"/>
  <c r="B281" i="1"/>
  <c r="A281" i="1"/>
  <c r="G280" i="1"/>
  <c r="J280" i="1" s="1"/>
  <c r="F280" i="1"/>
  <c r="D280" i="1"/>
  <c r="C280" i="1"/>
  <c r="B280" i="1"/>
  <c r="H280" i="1" s="1"/>
  <c r="A280" i="1"/>
  <c r="G279" i="1"/>
  <c r="J279" i="1" s="1"/>
  <c r="F279" i="1"/>
  <c r="D279" i="1"/>
  <c r="C279" i="1"/>
  <c r="B279" i="1"/>
  <c r="A279" i="1"/>
  <c r="G278" i="1"/>
  <c r="J278" i="1" s="1"/>
  <c r="F278" i="1"/>
  <c r="D278" i="1"/>
  <c r="C278" i="1"/>
  <c r="B278" i="1"/>
  <c r="A278" i="1"/>
  <c r="H277" i="1"/>
  <c r="G277" i="1"/>
  <c r="J277" i="1" s="1"/>
  <c r="F277" i="1"/>
  <c r="D277" i="1"/>
  <c r="C277" i="1"/>
  <c r="B277" i="1"/>
  <c r="A277" i="1"/>
  <c r="H276" i="1"/>
  <c r="G276" i="1"/>
  <c r="J276" i="1" s="1"/>
  <c r="F276" i="1"/>
  <c r="D276" i="1"/>
  <c r="C276" i="1"/>
  <c r="B276" i="1"/>
  <c r="A276" i="1"/>
  <c r="H275" i="1"/>
  <c r="G275" i="1"/>
  <c r="J275" i="1" s="1"/>
  <c r="F275" i="1"/>
  <c r="E275" i="1"/>
  <c r="D275" i="1"/>
  <c r="C275" i="1"/>
  <c r="B275" i="1"/>
  <c r="A275" i="1"/>
  <c r="G274" i="1"/>
  <c r="J274" i="1" s="1"/>
  <c r="F274" i="1"/>
  <c r="D274" i="1"/>
  <c r="C274" i="1"/>
  <c r="B274" i="1"/>
  <c r="A274" i="1"/>
  <c r="G273" i="1"/>
  <c r="J273" i="1" s="1"/>
  <c r="F273" i="1"/>
  <c r="E273" i="1"/>
  <c r="D273" i="1"/>
  <c r="C273" i="1"/>
  <c r="B273" i="1"/>
  <c r="A273" i="1"/>
  <c r="G272" i="1"/>
  <c r="J272" i="1" s="1"/>
  <c r="F272" i="1"/>
  <c r="E272" i="1"/>
  <c r="D272" i="1"/>
  <c r="C272" i="1"/>
  <c r="H272" i="1" s="1"/>
  <c r="B272" i="1"/>
  <c r="A272" i="1"/>
  <c r="G271" i="1"/>
  <c r="J271" i="1" s="1"/>
  <c r="F271" i="1"/>
  <c r="E271" i="1"/>
  <c r="D271" i="1"/>
  <c r="C271" i="1"/>
  <c r="H271" i="1" s="1"/>
  <c r="B271" i="1"/>
  <c r="A271" i="1"/>
  <c r="G270" i="1"/>
  <c r="J270" i="1" s="1"/>
  <c r="F270" i="1"/>
  <c r="E270" i="1"/>
  <c r="D270" i="1"/>
  <c r="C270" i="1"/>
  <c r="H270" i="1" s="1"/>
  <c r="B270" i="1"/>
  <c r="A270" i="1"/>
  <c r="G269" i="1"/>
  <c r="J269" i="1" s="1"/>
  <c r="F269" i="1"/>
  <c r="D269" i="1"/>
  <c r="C269" i="1"/>
  <c r="H269" i="1" s="1"/>
  <c r="B269" i="1"/>
  <c r="A269" i="1"/>
  <c r="G268" i="1"/>
  <c r="J268" i="1" s="1"/>
  <c r="F268" i="1"/>
  <c r="D268" i="1"/>
  <c r="C268" i="1"/>
  <c r="B268" i="1"/>
  <c r="H268" i="1" s="1"/>
  <c r="A268" i="1"/>
  <c r="G267" i="1"/>
  <c r="J267" i="1" s="1"/>
  <c r="F267" i="1"/>
  <c r="D267" i="1"/>
  <c r="C267" i="1"/>
  <c r="B267" i="1"/>
  <c r="H267" i="1" s="1"/>
  <c r="A267" i="1"/>
  <c r="J266" i="1"/>
  <c r="G266" i="1"/>
  <c r="F266" i="1"/>
  <c r="D266" i="1"/>
  <c r="C266" i="1"/>
  <c r="B266" i="1"/>
  <c r="H266" i="1" s="1"/>
  <c r="A266" i="1"/>
  <c r="G265" i="1"/>
  <c r="J265" i="1" s="1"/>
  <c r="F265" i="1"/>
  <c r="D265" i="1"/>
  <c r="C265" i="1"/>
  <c r="B265" i="1"/>
  <c r="A265" i="1"/>
  <c r="G264" i="1"/>
  <c r="J264" i="1" s="1"/>
  <c r="F264" i="1"/>
  <c r="D264" i="1"/>
  <c r="C264" i="1"/>
  <c r="B264" i="1"/>
  <c r="A264" i="1"/>
  <c r="G263" i="1"/>
  <c r="J263" i="1" s="1"/>
  <c r="F263" i="1"/>
  <c r="D263" i="1"/>
  <c r="C263" i="1"/>
  <c r="B263" i="1"/>
  <c r="A263" i="1"/>
  <c r="J262" i="1"/>
  <c r="G262" i="1"/>
  <c r="F262" i="1"/>
  <c r="E262" i="1"/>
  <c r="D262" i="1"/>
  <c r="C262" i="1"/>
  <c r="B262" i="1"/>
  <c r="H262" i="1" s="1"/>
  <c r="A262" i="1"/>
  <c r="J261" i="1"/>
  <c r="G261" i="1"/>
  <c r="F261" i="1"/>
  <c r="E261" i="1"/>
  <c r="D261" i="1"/>
  <c r="C261" i="1"/>
  <c r="B261" i="1"/>
  <c r="H261" i="1" s="1"/>
  <c r="A261" i="1"/>
  <c r="G260" i="1"/>
  <c r="J260" i="1" s="1"/>
  <c r="F260" i="1"/>
  <c r="D260" i="1"/>
  <c r="C260" i="1"/>
  <c r="B260" i="1"/>
  <c r="H260" i="1" s="1"/>
  <c r="A260" i="1"/>
  <c r="G259" i="1"/>
  <c r="J259" i="1" s="1"/>
  <c r="F259" i="1"/>
  <c r="D259" i="1"/>
  <c r="C259" i="1"/>
  <c r="B259" i="1"/>
  <c r="A259" i="1"/>
  <c r="H258" i="1"/>
  <c r="G258" i="1"/>
  <c r="J258" i="1" s="1"/>
  <c r="F258" i="1"/>
  <c r="D258" i="1"/>
  <c r="C258" i="1"/>
  <c r="B258" i="1"/>
  <c r="A258" i="1"/>
  <c r="G257" i="1"/>
  <c r="J257" i="1" s="1"/>
  <c r="F257" i="1"/>
  <c r="D257" i="1"/>
  <c r="C257" i="1"/>
  <c r="B257" i="1"/>
  <c r="A257" i="1"/>
  <c r="G256" i="1"/>
  <c r="J256" i="1" s="1"/>
  <c r="F256" i="1"/>
  <c r="D256" i="1"/>
  <c r="C256" i="1"/>
  <c r="B256" i="1"/>
  <c r="H256" i="1" s="1"/>
  <c r="A256" i="1"/>
  <c r="J255" i="1"/>
  <c r="G255" i="1"/>
  <c r="F255" i="1"/>
  <c r="E255" i="1"/>
  <c r="D255" i="1"/>
  <c r="C255" i="1"/>
  <c r="B255" i="1"/>
  <c r="H255" i="1" s="1"/>
  <c r="A255" i="1"/>
  <c r="G254" i="1"/>
  <c r="J254" i="1" s="1"/>
  <c r="F254" i="1"/>
  <c r="D254" i="1"/>
  <c r="C254" i="1"/>
  <c r="B254" i="1"/>
  <c r="H254" i="1" s="1"/>
  <c r="A254" i="1"/>
  <c r="G253" i="1"/>
  <c r="J253" i="1" s="1"/>
  <c r="F253" i="1"/>
  <c r="D253" i="1"/>
  <c r="C253" i="1"/>
  <c r="B253" i="1"/>
  <c r="H253" i="1" s="1"/>
  <c r="A253" i="1"/>
  <c r="G252" i="1"/>
  <c r="J252" i="1" s="1"/>
  <c r="F252" i="1"/>
  <c r="D252" i="1"/>
  <c r="C252" i="1"/>
  <c r="B252" i="1"/>
  <c r="A252" i="1"/>
  <c r="G251" i="1"/>
  <c r="J251" i="1" s="1"/>
  <c r="F251" i="1"/>
  <c r="E251" i="1"/>
  <c r="D251" i="1"/>
  <c r="C251" i="1"/>
  <c r="H251" i="1" s="1"/>
  <c r="B251" i="1"/>
  <c r="A251" i="1"/>
  <c r="G250" i="1"/>
  <c r="J250" i="1" s="1"/>
  <c r="F250" i="1"/>
  <c r="E250" i="1"/>
  <c r="D250" i="1"/>
  <c r="C250" i="1"/>
  <c r="B250" i="1"/>
  <c r="A250" i="1"/>
  <c r="G249" i="1"/>
  <c r="J249" i="1" s="1"/>
  <c r="F249" i="1"/>
  <c r="D249" i="1"/>
  <c r="C249" i="1"/>
  <c r="B249" i="1"/>
  <c r="A249" i="1"/>
  <c r="G248" i="1"/>
  <c r="J248" i="1" s="1"/>
  <c r="F248" i="1"/>
  <c r="D248" i="1"/>
  <c r="C248" i="1"/>
  <c r="B248" i="1"/>
  <c r="H248" i="1" s="1"/>
  <c r="A248" i="1"/>
  <c r="J247" i="1"/>
  <c r="G247" i="1"/>
  <c r="F247" i="1"/>
  <c r="E247" i="1"/>
  <c r="D247" i="1"/>
  <c r="C247" i="1"/>
  <c r="H247" i="1" s="1"/>
  <c r="B247" i="1"/>
  <c r="A247" i="1"/>
  <c r="G246" i="1"/>
  <c r="J246" i="1" s="1"/>
  <c r="F246" i="1"/>
  <c r="D246" i="1"/>
  <c r="C246" i="1"/>
  <c r="B246" i="1"/>
  <c r="H246" i="1" s="1"/>
  <c r="A246" i="1"/>
  <c r="G245" i="1"/>
  <c r="J245" i="1" s="1"/>
  <c r="F245" i="1"/>
  <c r="D245" i="1"/>
  <c r="C245" i="1"/>
  <c r="B245" i="1"/>
  <c r="H245" i="1" s="1"/>
  <c r="A245" i="1"/>
  <c r="G244" i="1"/>
  <c r="J244" i="1" s="1"/>
  <c r="F244" i="1"/>
  <c r="D244" i="1"/>
  <c r="C244" i="1"/>
  <c r="B244" i="1"/>
  <c r="A244" i="1"/>
  <c r="H243" i="1"/>
  <c r="G243" i="1"/>
  <c r="J243" i="1" s="1"/>
  <c r="F243" i="1"/>
  <c r="E243" i="1"/>
  <c r="D243" i="1"/>
  <c r="C243" i="1"/>
  <c r="B243" i="1"/>
  <c r="A243" i="1"/>
  <c r="G242" i="1"/>
  <c r="J242" i="1" s="1"/>
  <c r="F242" i="1"/>
  <c r="E242" i="1"/>
  <c r="D242" i="1"/>
  <c r="C242" i="1"/>
  <c r="B242" i="1"/>
  <c r="H242" i="1" s="1"/>
  <c r="A242" i="1"/>
  <c r="G241" i="1"/>
  <c r="J241" i="1" s="1"/>
  <c r="F241" i="1"/>
  <c r="D241" i="1"/>
  <c r="C241" i="1"/>
  <c r="B241" i="1"/>
  <c r="A241" i="1"/>
  <c r="G240" i="1"/>
  <c r="J240" i="1" s="1"/>
  <c r="F240" i="1"/>
  <c r="D240" i="1"/>
  <c r="C240" i="1"/>
  <c r="B240" i="1"/>
  <c r="H240" i="1" s="1"/>
  <c r="A240" i="1"/>
  <c r="G239" i="1"/>
  <c r="J239" i="1" s="1"/>
  <c r="F239" i="1"/>
  <c r="E239" i="1"/>
  <c r="D239" i="1"/>
  <c r="C239" i="1"/>
  <c r="H239" i="1" s="1"/>
  <c r="B239" i="1"/>
  <c r="A239" i="1"/>
  <c r="G238" i="1"/>
  <c r="J238" i="1" s="1"/>
  <c r="F238" i="1"/>
  <c r="D238" i="1"/>
  <c r="C238" i="1"/>
  <c r="B238" i="1"/>
  <c r="H238" i="1" s="1"/>
  <c r="A238" i="1"/>
  <c r="G237" i="1"/>
  <c r="J237" i="1" s="1"/>
  <c r="F237" i="1"/>
  <c r="D237" i="1"/>
  <c r="C237" i="1"/>
  <c r="B237" i="1"/>
  <c r="H237" i="1" s="1"/>
  <c r="A237" i="1"/>
  <c r="G236" i="1"/>
  <c r="J236" i="1" s="1"/>
  <c r="F236" i="1"/>
  <c r="D236" i="1"/>
  <c r="C236" i="1"/>
  <c r="B236" i="1"/>
  <c r="A236" i="1"/>
  <c r="J235" i="1"/>
  <c r="G235" i="1"/>
  <c r="F235" i="1"/>
  <c r="E235" i="1"/>
  <c r="D235" i="1"/>
  <c r="C235" i="1"/>
  <c r="B235" i="1"/>
  <c r="H235" i="1" s="1"/>
  <c r="A235" i="1"/>
  <c r="G234" i="1"/>
  <c r="J234" i="1" s="1"/>
  <c r="F234" i="1"/>
  <c r="E234" i="1"/>
  <c r="D234" i="1"/>
  <c r="C234" i="1"/>
  <c r="B234" i="1"/>
  <c r="H234" i="1" s="1"/>
  <c r="A234" i="1"/>
  <c r="G233" i="1"/>
  <c r="J233" i="1" s="1"/>
  <c r="F233" i="1"/>
  <c r="D233" i="1"/>
  <c r="C233" i="1"/>
  <c r="B233" i="1"/>
  <c r="A233" i="1"/>
  <c r="G232" i="1"/>
  <c r="J232" i="1" s="1"/>
  <c r="F232" i="1"/>
  <c r="D232" i="1"/>
  <c r="C232" i="1"/>
  <c r="B232" i="1"/>
  <c r="H232" i="1" s="1"/>
  <c r="A232" i="1"/>
  <c r="G231" i="1"/>
  <c r="J231" i="1" s="1"/>
  <c r="F231" i="1"/>
  <c r="E231" i="1"/>
  <c r="D231" i="1"/>
  <c r="C231" i="1"/>
  <c r="H231" i="1" s="1"/>
  <c r="B231" i="1"/>
  <c r="A231" i="1"/>
  <c r="G230" i="1"/>
  <c r="J230" i="1" s="1"/>
  <c r="F230" i="1"/>
  <c r="D230" i="1"/>
  <c r="C230" i="1"/>
  <c r="B230" i="1"/>
  <c r="A230" i="1"/>
  <c r="G229" i="1"/>
  <c r="J229" i="1" s="1"/>
  <c r="F229" i="1"/>
  <c r="D229" i="1"/>
  <c r="C229" i="1"/>
  <c r="B229" i="1"/>
  <c r="H229" i="1" s="1"/>
  <c r="A229" i="1"/>
  <c r="G228" i="1"/>
  <c r="J228" i="1" s="1"/>
  <c r="F228" i="1"/>
  <c r="D228" i="1"/>
  <c r="C228" i="1"/>
  <c r="B228" i="1"/>
  <c r="A228" i="1"/>
  <c r="J227" i="1"/>
  <c r="G227" i="1"/>
  <c r="F227" i="1"/>
  <c r="E227" i="1"/>
  <c r="D227" i="1"/>
  <c r="C227" i="1"/>
  <c r="H227" i="1" s="1"/>
  <c r="B227" i="1"/>
  <c r="A227" i="1"/>
  <c r="J226" i="1"/>
  <c r="G226" i="1"/>
  <c r="F226" i="1"/>
  <c r="E226" i="1"/>
  <c r="D226" i="1"/>
  <c r="C226" i="1"/>
  <c r="B226" i="1"/>
  <c r="A226" i="1"/>
  <c r="G225" i="1"/>
  <c r="J225" i="1" s="1"/>
  <c r="F225" i="1"/>
  <c r="D225" i="1"/>
  <c r="C225" i="1"/>
  <c r="B225" i="1"/>
  <c r="H225" i="1" s="1"/>
  <c r="A225" i="1"/>
  <c r="G224" i="1"/>
  <c r="J224" i="1" s="1"/>
  <c r="F224" i="1"/>
  <c r="D224" i="1"/>
  <c r="C224" i="1"/>
  <c r="B224" i="1"/>
  <c r="A224" i="1"/>
  <c r="G223" i="1"/>
  <c r="J223" i="1" s="1"/>
  <c r="F223" i="1"/>
  <c r="E223" i="1"/>
  <c r="D223" i="1"/>
  <c r="C223" i="1"/>
  <c r="B223" i="1"/>
  <c r="A223" i="1"/>
  <c r="G222" i="1"/>
  <c r="J222" i="1" s="1"/>
  <c r="F222" i="1"/>
  <c r="D222" i="1"/>
  <c r="C222" i="1"/>
  <c r="B222" i="1"/>
  <c r="A222" i="1"/>
  <c r="G221" i="1"/>
  <c r="J221" i="1" s="1"/>
  <c r="F221" i="1"/>
  <c r="D221" i="1"/>
  <c r="C221" i="1"/>
  <c r="B221" i="1"/>
  <c r="H221" i="1" s="1"/>
  <c r="A221" i="1"/>
  <c r="G220" i="1"/>
  <c r="J220" i="1" s="1"/>
  <c r="F220" i="1"/>
  <c r="D220" i="1"/>
  <c r="B220" i="1"/>
  <c r="A220" i="1"/>
  <c r="G219" i="1"/>
  <c r="J219" i="1" s="1"/>
  <c r="F219" i="1"/>
  <c r="D219" i="1"/>
  <c r="B219" i="1"/>
  <c r="A219" i="1"/>
  <c r="G218" i="1"/>
  <c r="J218" i="1" s="1"/>
  <c r="F218" i="1"/>
  <c r="E218" i="1"/>
  <c r="D218" i="1"/>
  <c r="B218" i="1"/>
  <c r="A218" i="1"/>
  <c r="G217" i="1"/>
  <c r="J217" i="1" s="1"/>
  <c r="F217" i="1"/>
  <c r="D217" i="1"/>
  <c r="C217" i="1"/>
  <c r="B217" i="1"/>
  <c r="H217" i="1" s="1"/>
  <c r="A217" i="1"/>
  <c r="G216" i="1"/>
  <c r="J216" i="1" s="1"/>
  <c r="F216" i="1"/>
  <c r="D216" i="1"/>
  <c r="C216" i="1"/>
  <c r="B216" i="1"/>
  <c r="H216" i="1" s="1"/>
  <c r="A216" i="1"/>
  <c r="G215" i="1"/>
  <c r="J215" i="1" s="1"/>
  <c r="F215" i="1"/>
  <c r="E215" i="1"/>
  <c r="D215" i="1"/>
  <c r="C215" i="1"/>
  <c r="B215" i="1"/>
  <c r="H215" i="1" s="1"/>
  <c r="A215" i="1"/>
  <c r="J214" i="1"/>
  <c r="G214" i="1"/>
  <c r="F214" i="1"/>
  <c r="D214" i="1"/>
  <c r="C214" i="1"/>
  <c r="B214" i="1"/>
  <c r="H214" i="1" s="1"/>
  <c r="A214" i="1"/>
  <c r="G213" i="1"/>
  <c r="J213" i="1" s="1"/>
  <c r="F213" i="1"/>
  <c r="D213" i="1"/>
  <c r="C213" i="1"/>
  <c r="B213" i="1"/>
  <c r="H213" i="1" s="1"/>
  <c r="A213" i="1"/>
  <c r="G212" i="1"/>
  <c r="J212" i="1" s="1"/>
  <c r="F212" i="1"/>
  <c r="D212" i="1"/>
  <c r="C212" i="1"/>
  <c r="H212" i="1" s="1"/>
  <c r="B212" i="1"/>
  <c r="A212" i="1"/>
  <c r="G211" i="1"/>
  <c r="J211" i="1" s="1"/>
  <c r="F211" i="1"/>
  <c r="D211" i="1"/>
  <c r="C211" i="1"/>
  <c r="B211" i="1"/>
  <c r="H211" i="1" s="1"/>
  <c r="A211" i="1"/>
  <c r="G210" i="1"/>
  <c r="J210" i="1" s="1"/>
  <c r="F210" i="1"/>
  <c r="E210" i="1"/>
  <c r="D210" i="1"/>
  <c r="C210" i="1"/>
  <c r="B210" i="1"/>
  <c r="A210" i="1"/>
  <c r="G209" i="1"/>
  <c r="J209" i="1" s="1"/>
  <c r="F209" i="1"/>
  <c r="D209" i="1"/>
  <c r="C209" i="1"/>
  <c r="B209" i="1"/>
  <c r="A209" i="1"/>
  <c r="G208" i="1"/>
  <c r="J208" i="1" s="1"/>
  <c r="F208" i="1"/>
  <c r="D208" i="1"/>
  <c r="C208" i="1"/>
  <c r="B208" i="1"/>
  <c r="H208" i="1" s="1"/>
  <c r="A208" i="1"/>
  <c r="J207" i="1"/>
  <c r="G207" i="1"/>
  <c r="F207" i="1"/>
  <c r="E207" i="1"/>
  <c r="D207" i="1"/>
  <c r="C207" i="1"/>
  <c r="H207" i="1" s="1"/>
  <c r="B207" i="1"/>
  <c r="A207" i="1"/>
  <c r="J206" i="1"/>
  <c r="G206" i="1"/>
  <c r="F206" i="1"/>
  <c r="D206" i="1"/>
  <c r="C206" i="1"/>
  <c r="B206" i="1"/>
  <c r="H206" i="1" s="1"/>
  <c r="A206" i="1"/>
  <c r="G205" i="1"/>
  <c r="J205" i="1" s="1"/>
  <c r="F205" i="1"/>
  <c r="D205" i="1"/>
  <c r="C205" i="1"/>
  <c r="B205" i="1"/>
  <c r="H205" i="1" s="1"/>
  <c r="A205" i="1"/>
  <c r="G204" i="1"/>
  <c r="J204" i="1" s="1"/>
  <c r="F204" i="1"/>
  <c r="D204" i="1"/>
  <c r="C204" i="1"/>
  <c r="H204" i="1" s="1"/>
  <c r="B204" i="1"/>
  <c r="A204" i="1"/>
  <c r="H203" i="1"/>
  <c r="G203" i="1"/>
  <c r="J203" i="1" s="1"/>
  <c r="F203" i="1"/>
  <c r="D203" i="1"/>
  <c r="C203" i="1"/>
  <c r="B203" i="1"/>
  <c r="A203" i="1"/>
  <c r="G202" i="1"/>
  <c r="J202" i="1" s="1"/>
  <c r="F202" i="1"/>
  <c r="E202" i="1"/>
  <c r="D202" i="1"/>
  <c r="C202" i="1"/>
  <c r="B202" i="1"/>
  <c r="A202" i="1"/>
  <c r="G201" i="1"/>
  <c r="J201" i="1" s="1"/>
  <c r="F201" i="1"/>
  <c r="D201" i="1"/>
  <c r="B201" i="1"/>
  <c r="A201" i="1"/>
  <c r="G200" i="1"/>
  <c r="J200" i="1" s="1"/>
  <c r="F200" i="1"/>
  <c r="D200" i="1"/>
  <c r="C200" i="1"/>
  <c r="H200" i="1" s="1"/>
  <c r="B200" i="1"/>
  <c r="A200" i="1"/>
  <c r="J199" i="1"/>
  <c r="G199" i="1"/>
  <c r="F199" i="1"/>
  <c r="E199" i="1"/>
  <c r="D199" i="1"/>
  <c r="B199" i="1"/>
  <c r="A199" i="1"/>
  <c r="J198" i="1"/>
  <c r="G198" i="1"/>
  <c r="F198" i="1"/>
  <c r="D198" i="1"/>
  <c r="C198" i="1"/>
  <c r="B198" i="1"/>
  <c r="A198" i="1"/>
  <c r="G197" i="1"/>
  <c r="J197" i="1" s="1"/>
  <c r="F197" i="1"/>
  <c r="D197" i="1"/>
  <c r="C197" i="1"/>
  <c r="B197" i="1"/>
  <c r="H197" i="1" s="1"/>
  <c r="A197" i="1"/>
  <c r="G196" i="1"/>
  <c r="J196" i="1" s="1"/>
  <c r="F196" i="1"/>
  <c r="D196" i="1"/>
  <c r="C196" i="1"/>
  <c r="H196" i="1" s="1"/>
  <c r="B196" i="1"/>
  <c r="A196" i="1"/>
  <c r="J195" i="1"/>
  <c r="G195" i="1"/>
  <c r="F195" i="1"/>
  <c r="D195" i="1"/>
  <c r="C195" i="1"/>
  <c r="B195" i="1"/>
  <c r="H195" i="1" s="1"/>
  <c r="A195" i="1"/>
  <c r="G194" i="1"/>
  <c r="J194" i="1" s="1"/>
  <c r="F194" i="1"/>
  <c r="E194" i="1"/>
  <c r="D194" i="1"/>
  <c r="C194" i="1"/>
  <c r="B194" i="1"/>
  <c r="A194" i="1"/>
  <c r="G193" i="1"/>
  <c r="J193" i="1" s="1"/>
  <c r="F193" i="1"/>
  <c r="D193" i="1"/>
  <c r="C193" i="1"/>
  <c r="B193" i="1"/>
  <c r="H193" i="1" s="1"/>
  <c r="A193" i="1"/>
  <c r="G192" i="1"/>
  <c r="J192" i="1" s="1"/>
  <c r="F192" i="1"/>
  <c r="D192" i="1"/>
  <c r="B192" i="1"/>
  <c r="A192" i="1"/>
  <c r="J191" i="1"/>
  <c r="G191" i="1"/>
  <c r="F191" i="1"/>
  <c r="E191" i="1"/>
  <c r="D191" i="1"/>
  <c r="C191" i="1"/>
  <c r="B191" i="1"/>
  <c r="H191" i="1" s="1"/>
  <c r="A191" i="1"/>
  <c r="J190" i="1"/>
  <c r="G190" i="1"/>
  <c r="F190" i="1"/>
  <c r="D190" i="1"/>
  <c r="B190" i="1"/>
  <c r="A190" i="1"/>
  <c r="G189" i="1"/>
  <c r="J189" i="1" s="1"/>
  <c r="E189" i="1"/>
  <c r="D189" i="1"/>
  <c r="C189" i="1"/>
  <c r="B189" i="1"/>
  <c r="A189" i="1"/>
  <c r="G188" i="1"/>
  <c r="E188" i="1"/>
  <c r="D188" i="1"/>
  <c r="C188" i="1"/>
  <c r="B188" i="1"/>
  <c r="A188" i="1"/>
  <c r="H187" i="1"/>
  <c r="J186" i="1"/>
  <c r="H186" i="1"/>
  <c r="G186" i="1"/>
  <c r="F186" i="1"/>
  <c r="E186" i="1"/>
  <c r="D186" i="1"/>
  <c r="C186" i="1"/>
  <c r="B186" i="1"/>
  <c r="J185" i="1"/>
  <c r="H185" i="1"/>
  <c r="G185" i="1"/>
  <c r="F185" i="1"/>
  <c r="E185" i="1"/>
  <c r="D185" i="1"/>
  <c r="C185" i="1"/>
  <c r="B185" i="1"/>
  <c r="J184" i="1"/>
  <c r="H184" i="1"/>
  <c r="G184" i="1"/>
  <c r="F184" i="1"/>
  <c r="E184" i="1"/>
  <c r="D184" i="1"/>
  <c r="C184" i="1"/>
  <c r="B184" i="1"/>
  <c r="J183" i="1"/>
  <c r="H183" i="1"/>
  <c r="G183" i="1"/>
  <c r="F183" i="1"/>
  <c r="E183" i="1"/>
  <c r="D183" i="1"/>
  <c r="C183" i="1"/>
  <c r="B183" i="1"/>
  <c r="J182" i="1"/>
  <c r="H182" i="1"/>
  <c r="G182" i="1"/>
  <c r="F182" i="1"/>
  <c r="E182" i="1"/>
  <c r="D182" i="1"/>
  <c r="C182" i="1"/>
  <c r="B182" i="1"/>
  <c r="J181" i="1"/>
  <c r="H181" i="1"/>
  <c r="G181" i="1"/>
  <c r="F181" i="1"/>
  <c r="E181" i="1"/>
  <c r="D181" i="1"/>
  <c r="C181" i="1"/>
  <c r="B181" i="1"/>
  <c r="G180" i="1"/>
  <c r="J180" i="1" s="1"/>
  <c r="F180" i="1"/>
  <c r="E180" i="1"/>
  <c r="D180" i="1"/>
  <c r="C180" i="1"/>
  <c r="B180" i="1"/>
  <c r="H180" i="1" s="1"/>
  <c r="G179" i="1"/>
  <c r="J179" i="1" s="1"/>
  <c r="F179" i="1"/>
  <c r="E179" i="1"/>
  <c r="D179" i="1"/>
  <c r="C179" i="1"/>
  <c r="B179" i="1"/>
  <c r="H179" i="1" s="1"/>
  <c r="G178" i="1"/>
  <c r="J178" i="1" s="1"/>
  <c r="E178" i="1"/>
  <c r="D178" i="1"/>
  <c r="C178" i="1"/>
  <c r="B178" i="1"/>
  <c r="H178" i="1" s="1"/>
  <c r="J177" i="1"/>
  <c r="G177" i="1"/>
  <c r="F177" i="1"/>
  <c r="E177" i="1"/>
  <c r="D177" i="1"/>
  <c r="C177" i="1"/>
  <c r="H176" i="1"/>
  <c r="G176" i="1"/>
  <c r="J176" i="1" s="1"/>
  <c r="F176" i="1"/>
  <c r="E176" i="1"/>
  <c r="D176" i="1"/>
  <c r="C176" i="1"/>
  <c r="B176" i="1"/>
  <c r="H175" i="1"/>
  <c r="G175" i="1"/>
  <c r="J175" i="1" s="1"/>
  <c r="F175" i="1"/>
  <c r="D175" i="1"/>
  <c r="C175" i="1"/>
  <c r="B175" i="1"/>
  <c r="G174" i="1"/>
  <c r="J174" i="1" s="1"/>
  <c r="F174" i="1"/>
  <c r="E174" i="1"/>
  <c r="D174" i="1"/>
  <c r="C174" i="1"/>
  <c r="G173" i="1"/>
  <c r="J173" i="1" s="1"/>
  <c r="F173" i="1"/>
  <c r="E173" i="1"/>
  <c r="D173" i="1"/>
  <c r="C173" i="1"/>
  <c r="B173" i="1"/>
  <c r="H173" i="1" s="1"/>
  <c r="H172" i="1"/>
  <c r="G172" i="1"/>
  <c r="J172" i="1" s="1"/>
  <c r="F172" i="1"/>
  <c r="D172" i="1"/>
  <c r="C172" i="1"/>
  <c r="B172" i="1"/>
  <c r="J171" i="1"/>
  <c r="G171" i="1"/>
  <c r="F171" i="1"/>
  <c r="E171" i="1"/>
  <c r="D171" i="1"/>
  <c r="C171" i="1"/>
  <c r="J170" i="1"/>
  <c r="G170" i="1"/>
  <c r="F170" i="1"/>
  <c r="E170" i="1"/>
  <c r="D170" i="1"/>
  <c r="C170" i="1"/>
  <c r="G169" i="1"/>
  <c r="J169" i="1" s="1"/>
  <c r="F169" i="1"/>
  <c r="E169" i="1"/>
  <c r="D169" i="1"/>
  <c r="C169" i="1"/>
  <c r="B169" i="1"/>
  <c r="H169" i="1" s="1"/>
  <c r="H168" i="1"/>
  <c r="E168" i="1"/>
  <c r="D168" i="1"/>
  <c r="C168" i="1"/>
  <c r="B168" i="1"/>
  <c r="G167" i="1"/>
  <c r="J167" i="1" s="1"/>
  <c r="D167" i="1"/>
  <c r="C167" i="1"/>
  <c r="B167" i="1"/>
  <c r="H167" i="1" s="1"/>
  <c r="J166" i="1"/>
  <c r="G166" i="1"/>
  <c r="F166" i="1"/>
  <c r="C166" i="1"/>
  <c r="B166" i="1"/>
  <c r="H166" i="1" s="1"/>
  <c r="J165" i="1"/>
  <c r="H165" i="1"/>
  <c r="G165" i="1"/>
  <c r="F165" i="1"/>
  <c r="E165" i="1"/>
  <c r="D165" i="1"/>
  <c r="C165" i="1"/>
  <c r="B165" i="1"/>
  <c r="G164" i="1"/>
  <c r="J164" i="1" s="1"/>
  <c r="F164" i="1"/>
  <c r="E164" i="1"/>
  <c r="D164" i="1"/>
  <c r="B164" i="1"/>
  <c r="G163" i="1"/>
  <c r="J163" i="1" s="1"/>
  <c r="F163" i="1"/>
  <c r="E163" i="1"/>
  <c r="D163" i="1"/>
  <c r="C163" i="1"/>
  <c r="G162" i="1"/>
  <c r="J162" i="1" s="1"/>
  <c r="F162" i="1"/>
  <c r="E162" i="1"/>
  <c r="D162" i="1"/>
  <c r="C162" i="1"/>
  <c r="J161" i="1"/>
  <c r="G161" i="1"/>
  <c r="F161" i="1"/>
  <c r="E161" i="1"/>
  <c r="D161" i="1"/>
  <c r="C161" i="1"/>
  <c r="B161" i="1"/>
  <c r="H161" i="1" s="1"/>
  <c r="H160" i="1"/>
  <c r="E160" i="1"/>
  <c r="D160" i="1"/>
  <c r="C160" i="1"/>
  <c r="B160" i="1"/>
  <c r="H159" i="1"/>
  <c r="G159" i="1"/>
  <c r="J159" i="1" s="1"/>
  <c r="D159" i="1"/>
  <c r="C159" i="1"/>
  <c r="B159" i="1"/>
  <c r="G158" i="1"/>
  <c r="J158" i="1" s="1"/>
  <c r="F158" i="1"/>
  <c r="C158" i="1"/>
  <c r="B158" i="1"/>
  <c r="H158" i="1" s="1"/>
  <c r="J157" i="1"/>
  <c r="G157" i="1"/>
  <c r="F157" i="1"/>
  <c r="E157" i="1"/>
  <c r="D157" i="1"/>
  <c r="C157" i="1"/>
  <c r="B157" i="1"/>
  <c r="H157" i="1" s="1"/>
  <c r="J156" i="1"/>
  <c r="G156" i="1"/>
  <c r="F156" i="1"/>
  <c r="E156" i="1"/>
  <c r="D156" i="1"/>
  <c r="B156" i="1"/>
  <c r="J155" i="1"/>
  <c r="G155" i="1"/>
  <c r="F155" i="1"/>
  <c r="E155" i="1"/>
  <c r="D155" i="1"/>
  <c r="C155" i="1"/>
  <c r="G154" i="1"/>
  <c r="J154" i="1" s="1"/>
  <c r="F154" i="1"/>
  <c r="E154" i="1"/>
  <c r="D154" i="1"/>
  <c r="C154" i="1"/>
  <c r="G153" i="1"/>
  <c r="J153" i="1" s="1"/>
  <c r="F153" i="1"/>
  <c r="E153" i="1"/>
  <c r="D153" i="1"/>
  <c r="C153" i="1"/>
  <c r="B153" i="1"/>
  <c r="E152" i="1"/>
  <c r="D152" i="1"/>
  <c r="C152" i="1"/>
  <c r="B152" i="1"/>
  <c r="H152" i="1" s="1"/>
  <c r="J151" i="1"/>
  <c r="G151" i="1"/>
  <c r="D151" i="1"/>
  <c r="C151" i="1"/>
  <c r="B151" i="1"/>
  <c r="H151" i="1" s="1"/>
  <c r="J150" i="1"/>
  <c r="H150" i="1"/>
  <c r="G150" i="1"/>
  <c r="F150" i="1"/>
  <c r="C150" i="1"/>
  <c r="B150" i="1"/>
  <c r="H149" i="1"/>
  <c r="G149" i="1"/>
  <c r="J149" i="1" s="1"/>
  <c r="F149" i="1"/>
  <c r="E149" i="1"/>
  <c r="D149" i="1"/>
  <c r="C149" i="1"/>
  <c r="B149" i="1"/>
  <c r="G148" i="1"/>
  <c r="J148" i="1" s="1"/>
  <c r="F148" i="1"/>
  <c r="E148" i="1"/>
  <c r="D148" i="1"/>
  <c r="J147" i="1"/>
  <c r="G147" i="1"/>
  <c r="F147" i="1"/>
  <c r="E147" i="1"/>
  <c r="D147" i="1"/>
  <c r="C147" i="1"/>
  <c r="J146" i="1"/>
  <c r="G146" i="1"/>
  <c r="F146" i="1"/>
  <c r="E146" i="1"/>
  <c r="D146" i="1"/>
  <c r="C146" i="1"/>
  <c r="B146" i="1"/>
  <c r="H146" i="1" s="1"/>
  <c r="H145" i="1"/>
  <c r="E145" i="1"/>
  <c r="D145" i="1"/>
  <c r="C145" i="1"/>
  <c r="B145" i="1"/>
  <c r="G144" i="1"/>
  <c r="J144" i="1" s="1"/>
  <c r="D144" i="1"/>
  <c r="C144" i="1"/>
  <c r="B144" i="1"/>
  <c r="H144" i="1" s="1"/>
  <c r="J143" i="1"/>
  <c r="G143" i="1"/>
  <c r="F143" i="1"/>
  <c r="C143" i="1"/>
  <c r="B143" i="1"/>
  <c r="H143" i="1" s="1"/>
  <c r="J142" i="1"/>
  <c r="G142" i="1"/>
  <c r="F142" i="1"/>
  <c r="E142" i="1"/>
  <c r="D142" i="1"/>
  <c r="C142" i="1"/>
  <c r="B142" i="1"/>
  <c r="H142" i="1" s="1"/>
  <c r="J141" i="1"/>
  <c r="G141" i="1"/>
  <c r="F141" i="1"/>
  <c r="E141" i="1"/>
  <c r="D141" i="1"/>
  <c r="B141" i="1"/>
  <c r="H140" i="1"/>
  <c r="G140" i="1"/>
  <c r="J140" i="1" s="1"/>
  <c r="F140" i="1"/>
  <c r="E140" i="1"/>
  <c r="D140" i="1"/>
  <c r="C140" i="1"/>
  <c r="G139" i="1"/>
  <c r="J139" i="1" s="1"/>
  <c r="F139" i="1"/>
  <c r="E139" i="1"/>
  <c r="D139" i="1"/>
  <c r="C139" i="1"/>
  <c r="G138" i="1"/>
  <c r="J138" i="1" s="1"/>
  <c r="F138" i="1"/>
  <c r="E138" i="1"/>
  <c r="D138" i="1"/>
  <c r="C138" i="1"/>
  <c r="B138" i="1"/>
  <c r="E137" i="1"/>
  <c r="D137" i="1"/>
  <c r="C137" i="1"/>
  <c r="B137" i="1"/>
  <c r="H137" i="1" s="1"/>
  <c r="J136" i="1"/>
  <c r="H136" i="1"/>
  <c r="G136" i="1"/>
  <c r="D136" i="1"/>
  <c r="C136" i="1"/>
  <c r="B136" i="1"/>
  <c r="H135" i="1"/>
  <c r="G135" i="1"/>
  <c r="J135" i="1" s="1"/>
  <c r="F135" i="1"/>
  <c r="C135" i="1"/>
  <c r="B135" i="1"/>
  <c r="G134" i="1"/>
  <c r="J134" i="1" s="1"/>
  <c r="F134" i="1"/>
  <c r="E134" i="1"/>
  <c r="D134" i="1"/>
  <c r="C134" i="1"/>
  <c r="B134" i="1"/>
  <c r="H134" i="1" s="1"/>
  <c r="G133" i="1"/>
  <c r="J133" i="1" s="1"/>
  <c r="F133" i="1"/>
  <c r="E133" i="1"/>
  <c r="D133" i="1"/>
  <c r="B133" i="1"/>
  <c r="J132" i="1"/>
  <c r="G132" i="1"/>
  <c r="F132" i="1"/>
  <c r="E132" i="1"/>
  <c r="D132" i="1"/>
  <c r="C132" i="1"/>
  <c r="B132" i="1"/>
  <c r="H132" i="1" s="1"/>
  <c r="J131" i="1"/>
  <c r="G131" i="1"/>
  <c r="F131" i="1"/>
  <c r="E131" i="1"/>
  <c r="D131" i="1"/>
  <c r="C131" i="1"/>
  <c r="J130" i="1"/>
  <c r="H130" i="1"/>
  <c r="G130" i="1"/>
  <c r="F130" i="1"/>
  <c r="E130" i="1"/>
  <c r="D130" i="1"/>
  <c r="C130" i="1"/>
  <c r="B130" i="1"/>
  <c r="H129" i="1"/>
  <c r="F129" i="1"/>
  <c r="E129" i="1"/>
  <c r="D129" i="1"/>
  <c r="C129" i="1"/>
  <c r="B129" i="1"/>
  <c r="H128" i="1"/>
  <c r="G128" i="1"/>
  <c r="J128" i="1" s="1"/>
  <c r="E128" i="1"/>
  <c r="D128" i="1"/>
  <c r="C128" i="1"/>
  <c r="B128" i="1"/>
  <c r="G127" i="1"/>
  <c r="J127" i="1" s="1"/>
  <c r="F127" i="1"/>
  <c r="D127" i="1"/>
  <c r="C127" i="1"/>
  <c r="B127" i="1"/>
  <c r="H127" i="1" s="1"/>
  <c r="G126" i="1"/>
  <c r="J126" i="1" s="1"/>
  <c r="F126" i="1"/>
  <c r="E126" i="1"/>
  <c r="D126" i="1"/>
  <c r="C126" i="1"/>
  <c r="B126" i="1"/>
  <c r="H126" i="1" s="1"/>
  <c r="G125" i="1"/>
  <c r="J125" i="1" s="1"/>
  <c r="F125" i="1"/>
  <c r="E125" i="1"/>
  <c r="D125" i="1"/>
  <c r="B125" i="1"/>
  <c r="J124" i="1"/>
  <c r="G124" i="1"/>
  <c r="F124" i="1"/>
  <c r="E124" i="1"/>
  <c r="D124" i="1"/>
  <c r="C124" i="1"/>
  <c r="B124" i="1"/>
  <c r="H124" i="1" s="1"/>
  <c r="J123" i="1"/>
  <c r="G123" i="1"/>
  <c r="F123" i="1"/>
  <c r="E123" i="1"/>
  <c r="D123" i="1"/>
  <c r="C123" i="1"/>
  <c r="J122" i="1"/>
  <c r="H122" i="1"/>
  <c r="G122" i="1"/>
  <c r="F122" i="1"/>
  <c r="E122" i="1"/>
  <c r="D122" i="1"/>
  <c r="C122" i="1"/>
  <c r="B122" i="1"/>
  <c r="H121" i="1"/>
  <c r="F121" i="1"/>
  <c r="E121" i="1"/>
  <c r="D121" i="1"/>
  <c r="C121" i="1"/>
  <c r="B121" i="1"/>
  <c r="H120" i="1"/>
  <c r="G120" i="1"/>
  <c r="J120" i="1" s="1"/>
  <c r="E120" i="1"/>
  <c r="D120" i="1"/>
  <c r="C120" i="1"/>
  <c r="B120" i="1"/>
  <c r="G119" i="1"/>
  <c r="J119" i="1" s="1"/>
  <c r="F119" i="1"/>
  <c r="D119" i="1"/>
  <c r="C119" i="1"/>
  <c r="B119" i="1"/>
  <c r="H119" i="1" s="1"/>
  <c r="G118" i="1"/>
  <c r="J118" i="1" s="1"/>
  <c r="F118" i="1"/>
  <c r="E118" i="1"/>
  <c r="D118" i="1"/>
  <c r="C118" i="1"/>
  <c r="B118" i="1"/>
  <c r="H118" i="1" s="1"/>
  <c r="G117" i="1"/>
  <c r="J117" i="1" s="1"/>
  <c r="F117" i="1"/>
  <c r="E117" i="1"/>
  <c r="D117" i="1"/>
  <c r="B117" i="1"/>
  <c r="J116" i="1"/>
  <c r="G116" i="1"/>
  <c r="F116" i="1"/>
  <c r="E116" i="1"/>
  <c r="D116" i="1"/>
  <c r="C116" i="1"/>
  <c r="B116" i="1"/>
  <c r="H116" i="1" s="1"/>
  <c r="J115" i="1"/>
  <c r="G115" i="1"/>
  <c r="F115" i="1"/>
  <c r="E115" i="1"/>
  <c r="D115" i="1"/>
  <c r="C115" i="1"/>
  <c r="J114" i="1"/>
  <c r="H114" i="1"/>
  <c r="G114" i="1"/>
  <c r="F114" i="1"/>
  <c r="E114" i="1"/>
  <c r="D114" i="1"/>
  <c r="C114" i="1"/>
  <c r="B114" i="1"/>
  <c r="H113" i="1"/>
  <c r="F113" i="1"/>
  <c r="E113" i="1"/>
  <c r="D113" i="1"/>
  <c r="C113" i="1"/>
  <c r="B113" i="1"/>
  <c r="H112" i="1"/>
  <c r="G112" i="1"/>
  <c r="J112" i="1" s="1"/>
  <c r="E112" i="1"/>
  <c r="D112" i="1"/>
  <c r="C112" i="1"/>
  <c r="B112" i="1"/>
  <c r="G111" i="1"/>
  <c r="J111" i="1" s="1"/>
  <c r="F111" i="1"/>
  <c r="D111" i="1"/>
  <c r="C111" i="1"/>
  <c r="B111" i="1"/>
  <c r="H111" i="1" s="1"/>
  <c r="G110" i="1"/>
  <c r="J110" i="1" s="1"/>
  <c r="F110" i="1"/>
  <c r="E110" i="1"/>
  <c r="D110" i="1"/>
  <c r="C110" i="1"/>
  <c r="B110" i="1"/>
  <c r="H110" i="1" s="1"/>
  <c r="G109" i="1"/>
  <c r="J109" i="1" s="1"/>
  <c r="F109" i="1"/>
  <c r="E109" i="1"/>
  <c r="D109" i="1"/>
  <c r="B109" i="1"/>
  <c r="J108" i="1"/>
  <c r="G108" i="1"/>
  <c r="F108" i="1"/>
  <c r="E108" i="1"/>
  <c r="D108" i="1"/>
  <c r="C108" i="1"/>
  <c r="B108" i="1"/>
  <c r="H108" i="1" s="1"/>
  <c r="J107" i="1"/>
  <c r="G107" i="1"/>
  <c r="F107" i="1"/>
  <c r="E107" i="1"/>
  <c r="D107" i="1"/>
  <c r="C107" i="1"/>
  <c r="J106" i="1"/>
  <c r="H106" i="1"/>
  <c r="G106" i="1"/>
  <c r="F106" i="1"/>
  <c r="E106" i="1"/>
  <c r="D106" i="1"/>
  <c r="C106" i="1"/>
  <c r="B106" i="1"/>
  <c r="H105" i="1"/>
  <c r="F105" i="1"/>
  <c r="E105" i="1"/>
  <c r="D105" i="1"/>
  <c r="C105" i="1"/>
  <c r="B105" i="1"/>
  <c r="H104" i="1"/>
  <c r="G104" i="1"/>
  <c r="J104" i="1" s="1"/>
  <c r="E104" i="1"/>
  <c r="D104" i="1"/>
  <c r="C104" i="1"/>
  <c r="B104" i="1"/>
  <c r="G103" i="1"/>
  <c r="J103" i="1" s="1"/>
  <c r="F103" i="1"/>
  <c r="D103" i="1"/>
  <c r="C103" i="1"/>
  <c r="B103" i="1"/>
  <c r="H103" i="1" s="1"/>
  <c r="G102" i="1"/>
  <c r="J102" i="1" s="1"/>
  <c r="F102" i="1"/>
  <c r="E102" i="1"/>
  <c r="D102" i="1"/>
  <c r="C102" i="1"/>
  <c r="B102" i="1"/>
  <c r="H102" i="1" s="1"/>
  <c r="G101" i="1"/>
  <c r="J101" i="1" s="1"/>
  <c r="F101" i="1"/>
  <c r="E101" i="1"/>
  <c r="D101" i="1"/>
  <c r="B101" i="1"/>
  <c r="J100" i="1"/>
  <c r="G100" i="1"/>
  <c r="F100" i="1"/>
  <c r="E100" i="1"/>
  <c r="D100" i="1"/>
  <c r="C100" i="1"/>
  <c r="B100" i="1"/>
  <c r="H100" i="1" s="1"/>
  <c r="J99" i="1"/>
  <c r="G99" i="1"/>
  <c r="F99" i="1"/>
  <c r="E99" i="1"/>
  <c r="D99" i="1"/>
  <c r="C99" i="1"/>
  <c r="J98" i="1"/>
  <c r="H98" i="1"/>
  <c r="G98" i="1"/>
  <c r="F98" i="1"/>
  <c r="E98" i="1"/>
  <c r="D98" i="1"/>
  <c r="C98" i="1"/>
  <c r="B98" i="1"/>
  <c r="H97" i="1"/>
  <c r="F97" i="1"/>
  <c r="E97" i="1"/>
  <c r="D97" i="1"/>
  <c r="C97" i="1"/>
  <c r="B97" i="1"/>
  <c r="H96" i="1"/>
  <c r="G96" i="1"/>
  <c r="J96" i="1" s="1"/>
  <c r="E96" i="1"/>
  <c r="D96" i="1"/>
  <c r="C96" i="1"/>
  <c r="B96" i="1"/>
  <c r="G95" i="1"/>
  <c r="J95" i="1" s="1"/>
  <c r="F95" i="1"/>
  <c r="D95" i="1"/>
  <c r="C95" i="1"/>
  <c r="B95" i="1"/>
  <c r="H95" i="1" s="1"/>
  <c r="G94" i="1"/>
  <c r="J94" i="1" s="1"/>
  <c r="F94" i="1"/>
  <c r="E94" i="1"/>
  <c r="D94" i="1"/>
  <c r="C94" i="1"/>
  <c r="B94" i="1"/>
  <c r="H94" i="1" s="1"/>
  <c r="G93" i="1"/>
  <c r="J93" i="1" s="1"/>
  <c r="F93" i="1"/>
  <c r="E93" i="1"/>
  <c r="D93" i="1"/>
  <c r="B93" i="1"/>
  <c r="J92" i="1"/>
  <c r="G92" i="1"/>
  <c r="F92" i="1"/>
  <c r="E92" i="1"/>
  <c r="D92" i="1"/>
  <c r="C92" i="1"/>
  <c r="B92" i="1"/>
  <c r="H92" i="1" s="1"/>
  <c r="J91" i="1"/>
  <c r="G91" i="1"/>
  <c r="F91" i="1"/>
  <c r="E91" i="1"/>
  <c r="D91" i="1"/>
  <c r="C91" i="1"/>
  <c r="J90" i="1"/>
  <c r="H90" i="1"/>
  <c r="G90" i="1"/>
  <c r="F90" i="1"/>
  <c r="E90" i="1"/>
  <c r="D90" i="1"/>
  <c r="C90" i="1"/>
  <c r="B90" i="1"/>
  <c r="H89" i="1"/>
  <c r="F89" i="1"/>
  <c r="E89" i="1"/>
  <c r="D89" i="1"/>
  <c r="C89" i="1"/>
  <c r="B89" i="1"/>
  <c r="H88" i="1"/>
  <c r="G88" i="1"/>
  <c r="J88" i="1" s="1"/>
  <c r="E88" i="1"/>
  <c r="D88" i="1"/>
  <c r="C88" i="1"/>
  <c r="B88" i="1"/>
  <c r="G87" i="1"/>
  <c r="J87" i="1" s="1"/>
  <c r="F87" i="1"/>
  <c r="D87" i="1"/>
  <c r="C87" i="1"/>
  <c r="B87" i="1"/>
  <c r="H87" i="1" s="1"/>
  <c r="G86" i="1"/>
  <c r="J86" i="1" s="1"/>
  <c r="F86" i="1"/>
  <c r="E86" i="1"/>
  <c r="D86" i="1"/>
  <c r="C86" i="1"/>
  <c r="B86" i="1"/>
  <c r="H86" i="1" s="1"/>
  <c r="G85" i="1"/>
  <c r="J85" i="1" s="1"/>
  <c r="F85" i="1"/>
  <c r="E85" i="1"/>
  <c r="D85" i="1"/>
  <c r="B85" i="1"/>
  <c r="J84" i="1"/>
  <c r="G84" i="1"/>
  <c r="F84" i="1"/>
  <c r="E84" i="1"/>
  <c r="D84" i="1"/>
  <c r="C84" i="1"/>
  <c r="B84" i="1"/>
  <c r="H84" i="1" s="1"/>
  <c r="J83" i="1"/>
  <c r="G83" i="1"/>
  <c r="F83" i="1"/>
  <c r="E83" i="1"/>
  <c r="D83" i="1"/>
  <c r="C83" i="1"/>
  <c r="B83" i="1"/>
  <c r="H83" i="1" s="1"/>
  <c r="F82" i="1"/>
  <c r="E82" i="1"/>
  <c r="D82" i="1"/>
  <c r="C82" i="1"/>
  <c r="B82" i="1"/>
  <c r="H82" i="1" s="1"/>
  <c r="J81" i="1"/>
  <c r="H81" i="1"/>
  <c r="G81" i="1"/>
  <c r="E81" i="1"/>
  <c r="D81" i="1"/>
  <c r="C81" i="1"/>
  <c r="B81" i="1"/>
  <c r="H80" i="1"/>
  <c r="G80" i="1"/>
  <c r="J80" i="1" s="1"/>
  <c r="F80" i="1"/>
  <c r="D80" i="1"/>
  <c r="C80" i="1"/>
  <c r="B80" i="1"/>
  <c r="G79" i="1"/>
  <c r="J79" i="1" s="1"/>
  <c r="F79" i="1"/>
  <c r="E79" i="1"/>
  <c r="D79" i="1"/>
  <c r="B79" i="1"/>
  <c r="G78" i="1"/>
  <c r="J78" i="1" s="1"/>
  <c r="F78" i="1"/>
  <c r="E78" i="1"/>
  <c r="D78" i="1"/>
  <c r="B78" i="1"/>
  <c r="G77" i="1"/>
  <c r="J77" i="1" s="1"/>
  <c r="F77" i="1"/>
  <c r="E77" i="1"/>
  <c r="D77" i="1"/>
  <c r="C77" i="1"/>
  <c r="B77" i="1"/>
  <c r="H77" i="1" s="1"/>
  <c r="G76" i="1"/>
  <c r="J76" i="1" s="1"/>
  <c r="F76" i="1"/>
  <c r="E76" i="1"/>
  <c r="D76" i="1"/>
  <c r="C76" i="1"/>
  <c r="F75" i="1"/>
  <c r="E75" i="1"/>
  <c r="D75" i="1"/>
  <c r="C75" i="1"/>
  <c r="B75" i="1"/>
  <c r="H75" i="1" s="1"/>
  <c r="F74" i="1"/>
  <c r="E74" i="1"/>
  <c r="D74" i="1"/>
  <c r="C74" i="1"/>
  <c r="B74" i="1"/>
  <c r="H74" i="1" s="1"/>
  <c r="J73" i="1"/>
  <c r="H73" i="1"/>
  <c r="G73" i="1"/>
  <c r="E73" i="1"/>
  <c r="D73" i="1"/>
  <c r="C73" i="1"/>
  <c r="B73" i="1"/>
  <c r="H72" i="1"/>
  <c r="G72" i="1"/>
  <c r="J72" i="1" s="1"/>
  <c r="F72" i="1"/>
  <c r="D72" i="1"/>
  <c r="C72" i="1"/>
  <c r="B72" i="1"/>
  <c r="G71" i="1"/>
  <c r="J71" i="1" s="1"/>
  <c r="F71" i="1"/>
  <c r="E71" i="1"/>
  <c r="D71" i="1"/>
  <c r="B71" i="1"/>
  <c r="G70" i="1"/>
  <c r="J70" i="1" s="1"/>
  <c r="F70" i="1"/>
  <c r="E70" i="1"/>
  <c r="D70" i="1"/>
  <c r="B70" i="1"/>
  <c r="G69" i="1"/>
  <c r="J69" i="1" s="1"/>
  <c r="F69" i="1"/>
  <c r="E69" i="1"/>
  <c r="D69" i="1"/>
  <c r="C69" i="1"/>
  <c r="B69" i="1"/>
  <c r="H69" i="1" s="1"/>
  <c r="G68" i="1"/>
  <c r="J68" i="1" s="1"/>
  <c r="F68" i="1"/>
  <c r="E68" i="1"/>
  <c r="D68" i="1"/>
  <c r="C68" i="1"/>
  <c r="F67" i="1"/>
  <c r="E67" i="1"/>
  <c r="D67" i="1"/>
  <c r="C67" i="1"/>
  <c r="B67" i="1"/>
  <c r="H67" i="1" s="1"/>
  <c r="F66" i="1"/>
  <c r="E66" i="1"/>
  <c r="D66" i="1"/>
  <c r="C66" i="1"/>
  <c r="B66" i="1"/>
  <c r="H66" i="1" s="1"/>
  <c r="J65" i="1"/>
  <c r="H65" i="1"/>
  <c r="G65" i="1"/>
  <c r="E65" i="1"/>
  <c r="D65" i="1"/>
  <c r="C65" i="1"/>
  <c r="B65" i="1"/>
  <c r="H64" i="1"/>
  <c r="G64" i="1"/>
  <c r="J64" i="1" s="1"/>
  <c r="F64" i="1"/>
  <c r="D64" i="1"/>
  <c r="C64" i="1"/>
  <c r="B64" i="1"/>
  <c r="G63" i="1"/>
  <c r="J63" i="1" s="1"/>
  <c r="F63" i="1"/>
  <c r="E63" i="1"/>
  <c r="D63" i="1"/>
  <c r="B63" i="1"/>
  <c r="G62" i="1"/>
  <c r="J62" i="1" s="1"/>
  <c r="F62" i="1"/>
  <c r="E62" i="1"/>
  <c r="D62" i="1"/>
  <c r="B62" i="1"/>
  <c r="G61" i="1"/>
  <c r="J61" i="1" s="1"/>
  <c r="F61" i="1"/>
  <c r="E61" i="1"/>
  <c r="D61" i="1"/>
  <c r="C61" i="1"/>
  <c r="B61" i="1"/>
  <c r="H61" i="1" s="1"/>
  <c r="G60" i="1"/>
  <c r="J60" i="1" s="1"/>
  <c r="F60" i="1"/>
  <c r="E60" i="1"/>
  <c r="D60" i="1"/>
  <c r="C60" i="1"/>
  <c r="F59" i="1"/>
  <c r="E59" i="1"/>
  <c r="D59" i="1"/>
  <c r="C59" i="1"/>
  <c r="B59" i="1"/>
  <c r="H59" i="1" s="1"/>
  <c r="J58" i="1"/>
  <c r="G58" i="1"/>
  <c r="E58" i="1"/>
  <c r="D58" i="1"/>
  <c r="C58" i="1"/>
  <c r="B58" i="1"/>
  <c r="H58" i="1" s="1"/>
  <c r="J57" i="1"/>
  <c r="G57" i="1"/>
  <c r="F57" i="1"/>
  <c r="D57" i="1"/>
  <c r="C57" i="1"/>
  <c r="B57" i="1"/>
  <c r="H57" i="1" s="1"/>
  <c r="J56" i="1"/>
  <c r="H56" i="1"/>
  <c r="G56" i="1"/>
  <c r="F56" i="1"/>
  <c r="E56" i="1"/>
  <c r="D56" i="1"/>
  <c r="C56" i="1"/>
  <c r="B56" i="1"/>
  <c r="G55" i="1"/>
  <c r="J55" i="1" s="1"/>
  <c r="F55" i="1"/>
  <c r="E55" i="1"/>
  <c r="D55" i="1"/>
  <c r="B55" i="1"/>
  <c r="H54" i="1"/>
  <c r="G54" i="1"/>
  <c r="J54" i="1" s="1"/>
  <c r="F54" i="1"/>
  <c r="E54" i="1"/>
  <c r="D54" i="1"/>
  <c r="C54" i="1"/>
  <c r="B54" i="1"/>
  <c r="G53" i="1"/>
  <c r="J53" i="1" s="1"/>
  <c r="F53" i="1"/>
  <c r="E53" i="1"/>
  <c r="D53" i="1"/>
  <c r="C53" i="1"/>
  <c r="G52" i="1"/>
  <c r="J52" i="1" s="1"/>
  <c r="F52" i="1"/>
  <c r="E52" i="1"/>
  <c r="D52" i="1"/>
  <c r="C52" i="1"/>
  <c r="B52" i="1"/>
  <c r="H52" i="1" s="1"/>
  <c r="F51" i="1"/>
  <c r="E51" i="1"/>
  <c r="D51" i="1"/>
  <c r="C51" i="1"/>
  <c r="B51" i="1"/>
  <c r="H51" i="1" s="1"/>
  <c r="J50" i="1"/>
  <c r="G50" i="1"/>
  <c r="E50" i="1"/>
  <c r="D50" i="1"/>
  <c r="C50" i="1"/>
  <c r="B50" i="1"/>
  <c r="H50" i="1" s="1"/>
  <c r="J49" i="1"/>
  <c r="G49" i="1"/>
  <c r="F49" i="1"/>
  <c r="D49" i="1"/>
  <c r="C49" i="1"/>
  <c r="B49" i="1"/>
  <c r="H49" i="1" s="1"/>
  <c r="J48" i="1"/>
  <c r="H48" i="1"/>
  <c r="G48" i="1"/>
  <c r="F48" i="1"/>
  <c r="E48" i="1"/>
  <c r="D48" i="1"/>
  <c r="C48" i="1"/>
  <c r="B48" i="1"/>
  <c r="G47" i="1"/>
  <c r="J47" i="1" s="1"/>
  <c r="F47" i="1"/>
  <c r="E47" i="1"/>
  <c r="D47" i="1"/>
  <c r="B47" i="1"/>
  <c r="H46" i="1"/>
  <c r="G46" i="1"/>
  <c r="J46" i="1" s="1"/>
  <c r="F46" i="1"/>
  <c r="E46" i="1"/>
  <c r="D46" i="1"/>
  <c r="C46" i="1"/>
  <c r="B46" i="1"/>
  <c r="G45" i="1"/>
  <c r="J45" i="1" s="1"/>
  <c r="F45" i="1"/>
  <c r="E45" i="1"/>
  <c r="D45" i="1"/>
  <c r="C45" i="1"/>
  <c r="G44" i="1"/>
  <c r="J44" i="1" s="1"/>
  <c r="F44" i="1"/>
  <c r="E44" i="1"/>
  <c r="D44" i="1"/>
  <c r="C44" i="1"/>
  <c r="B44" i="1"/>
  <c r="H44" i="1" s="1"/>
  <c r="F43" i="1"/>
  <c r="E43" i="1"/>
  <c r="D43" i="1"/>
  <c r="C43" i="1"/>
  <c r="B43" i="1"/>
  <c r="H43" i="1" s="1"/>
  <c r="J42" i="1"/>
  <c r="G42" i="1"/>
  <c r="D42" i="1"/>
  <c r="C42" i="1"/>
  <c r="B42" i="1"/>
  <c r="H42" i="1" s="1"/>
  <c r="J41" i="1"/>
  <c r="G41" i="1"/>
  <c r="F41" i="1"/>
  <c r="C41" i="1"/>
  <c r="B41" i="1"/>
  <c r="H41" i="1" s="1"/>
  <c r="J40" i="1"/>
  <c r="H40" i="1"/>
  <c r="G40" i="1"/>
  <c r="F40" i="1"/>
  <c r="E40" i="1"/>
  <c r="D40" i="1"/>
  <c r="C40" i="1"/>
  <c r="B40" i="1"/>
  <c r="G39" i="1"/>
  <c r="J39" i="1" s="1"/>
  <c r="F39" i="1"/>
  <c r="E39" i="1"/>
  <c r="D39" i="1"/>
  <c r="B39" i="1"/>
  <c r="G38" i="1"/>
  <c r="J38" i="1" s="1"/>
  <c r="F38" i="1"/>
  <c r="E38" i="1"/>
  <c r="D38" i="1"/>
  <c r="C38" i="1"/>
  <c r="G37" i="1"/>
  <c r="J37" i="1" s="1"/>
  <c r="F37" i="1"/>
  <c r="E37" i="1"/>
  <c r="D37" i="1"/>
  <c r="C37" i="1"/>
  <c r="G36" i="1"/>
  <c r="J36" i="1" s="1"/>
  <c r="F36" i="1"/>
  <c r="E36" i="1"/>
  <c r="D36" i="1"/>
  <c r="C36" i="1"/>
  <c r="B36" i="1"/>
  <c r="H36" i="1" s="1"/>
  <c r="E35" i="1"/>
  <c r="D35" i="1"/>
  <c r="C35" i="1"/>
  <c r="B35" i="1"/>
  <c r="H35" i="1" s="1"/>
  <c r="J34" i="1"/>
  <c r="G34" i="1"/>
  <c r="D34" i="1"/>
  <c r="C34" i="1"/>
  <c r="B34" i="1"/>
  <c r="H34" i="1" s="1"/>
  <c r="J33" i="1"/>
  <c r="G33" i="1"/>
  <c r="F33" i="1"/>
  <c r="C33" i="1"/>
  <c r="B33" i="1"/>
  <c r="H33" i="1" s="1"/>
  <c r="J32" i="1"/>
  <c r="G32" i="1"/>
  <c r="F32" i="1"/>
  <c r="E32" i="1"/>
  <c r="D32" i="1"/>
  <c r="B32" i="1"/>
  <c r="G31" i="1"/>
  <c r="J31" i="1" s="1"/>
  <c r="F31" i="1"/>
  <c r="E31" i="1"/>
  <c r="D31" i="1"/>
  <c r="B31" i="1"/>
  <c r="G30" i="1"/>
  <c r="J30" i="1" s="1"/>
  <c r="F30" i="1"/>
  <c r="E30" i="1"/>
  <c r="D30" i="1"/>
  <c r="C30" i="1"/>
  <c r="G29" i="1"/>
  <c r="J29" i="1" s="1"/>
  <c r="F29" i="1"/>
  <c r="E29" i="1"/>
  <c r="D29" i="1"/>
  <c r="C29" i="1"/>
  <c r="F28" i="1"/>
  <c r="E28" i="1"/>
  <c r="D28" i="1"/>
  <c r="C28" i="1"/>
  <c r="B28" i="1"/>
  <c r="H28" i="1" s="1"/>
  <c r="E27" i="1"/>
  <c r="D27" i="1"/>
  <c r="C27" i="1"/>
  <c r="B27" i="1"/>
  <c r="H27" i="1" s="1"/>
  <c r="J26" i="1"/>
  <c r="G26" i="1"/>
  <c r="D26" i="1"/>
  <c r="C26" i="1"/>
  <c r="B26" i="1"/>
  <c r="H26" i="1" s="1"/>
  <c r="J25" i="1"/>
  <c r="G25" i="1"/>
  <c r="F25" i="1"/>
  <c r="C25" i="1"/>
  <c r="B25" i="1"/>
  <c r="H25" i="1" s="1"/>
  <c r="J24" i="1"/>
  <c r="G24" i="1"/>
  <c r="F24" i="1"/>
  <c r="E24" i="1"/>
  <c r="D24" i="1"/>
  <c r="B24" i="1"/>
  <c r="G23" i="1"/>
  <c r="J23" i="1" s="1"/>
  <c r="F23" i="1"/>
  <c r="E23" i="1"/>
  <c r="D23" i="1"/>
  <c r="B23" i="1"/>
  <c r="G22" i="1"/>
  <c r="J22" i="1" s="1"/>
  <c r="F22" i="1"/>
  <c r="E22" i="1"/>
  <c r="D22" i="1"/>
  <c r="C22" i="1"/>
  <c r="G21" i="1"/>
  <c r="J21" i="1" s="1"/>
  <c r="F21" i="1"/>
  <c r="E21" i="1"/>
  <c r="D21" i="1"/>
  <c r="C21" i="1"/>
  <c r="F20" i="1"/>
  <c r="E20" i="1"/>
  <c r="D20" i="1"/>
  <c r="C20" i="1"/>
  <c r="B20" i="1"/>
  <c r="H20" i="1" s="1"/>
  <c r="E19" i="1"/>
  <c r="D19" i="1"/>
  <c r="C19" i="1"/>
  <c r="B19" i="1"/>
  <c r="H19" i="1" s="1"/>
  <c r="J18" i="1"/>
  <c r="G18" i="1"/>
  <c r="D18" i="1"/>
  <c r="C18" i="1"/>
  <c r="B18" i="1"/>
  <c r="H18" i="1" s="1"/>
  <c r="J17" i="1"/>
  <c r="G17" i="1"/>
  <c r="F17" i="1"/>
  <c r="C17" i="1"/>
  <c r="B17" i="1"/>
  <c r="H17" i="1" s="1"/>
  <c r="J16" i="1"/>
  <c r="G16" i="1"/>
  <c r="F16" i="1"/>
  <c r="E16" i="1"/>
  <c r="D16" i="1"/>
  <c r="B16" i="1"/>
  <c r="G15" i="1"/>
  <c r="J15" i="1" s="1"/>
  <c r="F15" i="1"/>
  <c r="E15" i="1"/>
  <c r="D15" i="1"/>
  <c r="B15" i="1"/>
  <c r="G14" i="1"/>
  <c r="J14" i="1" s="1"/>
  <c r="F14" i="1"/>
  <c r="E14" i="1"/>
  <c r="D14" i="1"/>
  <c r="C14" i="1"/>
  <c r="G13" i="1"/>
  <c r="J13" i="1" s="1"/>
  <c r="F13" i="1"/>
  <c r="E13" i="1"/>
  <c r="D13" i="1"/>
  <c r="C13" i="1"/>
  <c r="F12" i="1"/>
  <c r="E12" i="1"/>
  <c r="D12" i="1"/>
  <c r="C12" i="1"/>
  <c r="B12" i="1"/>
  <c r="H12" i="1" s="1"/>
  <c r="E11" i="1"/>
  <c r="D11" i="1"/>
  <c r="C11" i="1"/>
  <c r="B11" i="1"/>
  <c r="K9" i="1"/>
  <c r="K7" i="1"/>
  <c r="J6" i="1"/>
  <c r="E5" i="5" l="1"/>
  <c r="F7" i="3"/>
  <c r="F6" i="5"/>
  <c r="G8" i="3"/>
  <c r="J8" i="3" s="1"/>
  <c r="C11" i="5"/>
  <c r="D13" i="3"/>
  <c r="D12" i="5"/>
  <c r="E14" i="3"/>
  <c r="F14" i="5"/>
  <c r="G16" i="3"/>
  <c r="J16" i="3" s="1"/>
  <c r="C19" i="5"/>
  <c r="D21" i="3"/>
  <c r="F22" i="5"/>
  <c r="G24" i="3"/>
  <c r="J24" i="3" s="1"/>
  <c r="C27" i="5"/>
  <c r="D29" i="3"/>
  <c r="F30" i="5"/>
  <c r="G32" i="3"/>
  <c r="J32" i="3" s="1"/>
  <c r="C35" i="5"/>
  <c r="D37" i="3"/>
  <c r="D36" i="5"/>
  <c r="E38" i="3"/>
  <c r="F38" i="5"/>
  <c r="G40" i="3"/>
  <c r="J40" i="3" s="1"/>
  <c r="C43" i="5"/>
  <c r="D45" i="3"/>
  <c r="B50" i="5"/>
  <c r="C52" i="3"/>
  <c r="C51" i="5"/>
  <c r="D53" i="3"/>
  <c r="F53" i="5"/>
  <c r="G55" i="3"/>
  <c r="J55" i="3" s="1"/>
  <c r="A55" i="5"/>
  <c r="B57" i="3"/>
  <c r="B57" i="5"/>
  <c r="C59" i="3"/>
  <c r="A63" i="5"/>
  <c r="B65" i="3"/>
  <c r="E68" i="5"/>
  <c r="F70" i="3"/>
  <c r="B73" i="5"/>
  <c r="C75" i="3"/>
  <c r="E76" i="5"/>
  <c r="F78" i="3"/>
  <c r="E91" i="5"/>
  <c r="F93" i="3"/>
  <c r="E99" i="5"/>
  <c r="F101" i="3"/>
  <c r="E107" i="5"/>
  <c r="F109" i="3"/>
  <c r="A149" i="5"/>
  <c r="B155" i="1"/>
  <c r="H155" i="1" s="1"/>
  <c r="A157" i="5"/>
  <c r="B163" i="1"/>
  <c r="H163" i="1" s="1"/>
  <c r="A165" i="5"/>
  <c r="B171" i="1"/>
  <c r="H171" i="1" s="1"/>
  <c r="D172" i="5"/>
  <c r="E174" i="3"/>
  <c r="E22" i="3"/>
  <c r="B159" i="3"/>
  <c r="H287" i="1"/>
  <c r="H346" i="1"/>
  <c r="H365" i="1"/>
  <c r="H367" i="1"/>
  <c r="H373" i="1"/>
  <c r="H381" i="1"/>
  <c r="H392" i="1"/>
  <c r="H13" i="1"/>
  <c r="H15" i="1"/>
  <c r="H21" i="1"/>
  <c r="H23" i="1"/>
  <c r="H29" i="1"/>
  <c r="H31" i="1"/>
  <c r="H37" i="1"/>
  <c r="H39" i="1"/>
  <c r="H45" i="1"/>
  <c r="H47" i="1"/>
  <c r="H55" i="1"/>
  <c r="H60" i="1"/>
  <c r="H68" i="1"/>
  <c r="H76" i="1"/>
  <c r="H78" i="1"/>
  <c r="H91" i="1"/>
  <c r="H99" i="1"/>
  <c r="H107" i="1"/>
  <c r="E42" i="3"/>
  <c r="H263" i="1"/>
  <c r="H335" i="1"/>
  <c r="H397" i="1"/>
  <c r="H413" i="1"/>
  <c r="D185" i="5"/>
  <c r="D179" i="3"/>
  <c r="D186" i="5"/>
  <c r="D180" i="3"/>
  <c r="C187" i="5"/>
  <c r="C190" i="1"/>
  <c r="C181" i="3"/>
  <c r="C188" i="5"/>
  <c r="C182" i="3"/>
  <c r="C189" i="5"/>
  <c r="C183" i="3"/>
  <c r="C192" i="1"/>
  <c r="H192" i="1" s="1"/>
  <c r="C190" i="5"/>
  <c r="C184" i="3"/>
  <c r="C191" i="5"/>
  <c r="C185" i="3"/>
  <c r="C192" i="5"/>
  <c r="C186" i="3"/>
  <c r="C194" i="5"/>
  <c r="C188" i="3"/>
  <c r="C195" i="5"/>
  <c r="C189" i="3"/>
  <c r="H189" i="3" s="1"/>
  <c r="C196" i="5"/>
  <c r="C190" i="3"/>
  <c r="C199" i="1"/>
  <c r="H199" i="1" s="1"/>
  <c r="C198" i="5"/>
  <c r="C192" i="3"/>
  <c r="C201" i="1"/>
  <c r="H201" i="1" s="1"/>
  <c r="C199" i="5"/>
  <c r="C193" i="3"/>
  <c r="C200" i="5"/>
  <c r="C194" i="3"/>
  <c r="C201" i="5"/>
  <c r="C195" i="3"/>
  <c r="C203" i="5"/>
  <c r="C197" i="3"/>
  <c r="C204" i="5"/>
  <c r="C198" i="3"/>
  <c r="H198" i="3" s="1"/>
  <c r="C205" i="5"/>
  <c r="C199" i="3"/>
  <c r="C206" i="5"/>
  <c r="C200" i="3"/>
  <c r="C207" i="5"/>
  <c r="C201" i="3"/>
  <c r="G12" i="1"/>
  <c r="J12" i="1" s="1"/>
  <c r="C16" i="1"/>
  <c r="H16" i="1" s="1"/>
  <c r="G20" i="1"/>
  <c r="J20" i="1" s="1"/>
  <c r="C24" i="1"/>
  <c r="H24" i="1" s="1"/>
  <c r="G28" i="1"/>
  <c r="J28" i="1" s="1"/>
  <c r="C32" i="1"/>
  <c r="H32" i="1" s="1"/>
  <c r="H190" i="1"/>
  <c r="H228" i="1"/>
  <c r="H236" i="1"/>
  <c r="H279" i="1"/>
  <c r="H312" i="1"/>
  <c r="H325" i="1"/>
  <c r="H333" i="1"/>
  <c r="H395" i="1"/>
  <c r="H396" i="1"/>
  <c r="E30" i="3"/>
  <c r="B14" i="1"/>
  <c r="H14" i="1" s="1"/>
  <c r="D17" i="1"/>
  <c r="E18" i="1"/>
  <c r="F19" i="1"/>
  <c r="B22" i="1"/>
  <c r="H22" i="1" s="1"/>
  <c r="D25" i="1"/>
  <c r="E26" i="1"/>
  <c r="F27" i="1"/>
  <c r="B30" i="1"/>
  <c r="H30" i="1" s="1"/>
  <c r="D33" i="1"/>
  <c r="E34" i="1"/>
  <c r="F35" i="1"/>
  <c r="B38" i="1"/>
  <c r="H38" i="1" s="1"/>
  <c r="D41" i="1"/>
  <c r="E42" i="1"/>
  <c r="D16" i="5"/>
  <c r="E18" i="3"/>
  <c r="D33" i="3"/>
  <c r="C31" i="5"/>
  <c r="C39" i="5"/>
  <c r="D41" i="3"/>
  <c r="E46" i="3"/>
  <c r="F85" i="3"/>
  <c r="F11" i="1"/>
  <c r="G59" i="1"/>
  <c r="J59" i="1" s="1"/>
  <c r="C63" i="1"/>
  <c r="H63" i="1" s="1"/>
  <c r="G67" i="1"/>
  <c r="J67" i="1" s="1"/>
  <c r="C71" i="1"/>
  <c r="H71" i="1" s="1"/>
  <c r="G75" i="1"/>
  <c r="J75" i="1" s="1"/>
  <c r="C79" i="1"/>
  <c r="H79" i="1" s="1"/>
  <c r="H153" i="1"/>
  <c r="H189" i="1"/>
  <c r="H202" i="1"/>
  <c r="H223" i="1"/>
  <c r="H224" i="1"/>
  <c r="H233" i="1"/>
  <c r="H241" i="1"/>
  <c r="H244" i="1"/>
  <c r="H250" i="1"/>
  <c r="H265" i="1"/>
  <c r="H274" i="1"/>
  <c r="H291" i="1"/>
  <c r="H292" i="1"/>
  <c r="H293" i="1"/>
  <c r="H303" i="1"/>
  <c r="H348" i="1"/>
  <c r="H379" i="1"/>
  <c r="H383" i="1"/>
  <c r="H388" i="1"/>
  <c r="H394" i="1"/>
  <c r="H326" i="3"/>
  <c r="H194" i="1"/>
  <c r="H210" i="1"/>
  <c r="H230" i="1"/>
  <c r="H257" i="1"/>
  <c r="H296" i="1"/>
  <c r="H315" i="1"/>
  <c r="H331" i="1"/>
  <c r="H369" i="1"/>
  <c r="H374" i="1"/>
  <c r="H378" i="1"/>
  <c r="H382" i="1"/>
  <c r="H393" i="1"/>
  <c r="C187" i="3"/>
  <c r="H187" i="3" s="1"/>
  <c r="H138" i="1"/>
  <c r="H188" i="1"/>
  <c r="H222" i="1"/>
  <c r="H264" i="1"/>
  <c r="H289" i="1"/>
  <c r="H300" i="1"/>
  <c r="H310" i="1"/>
  <c r="H347" i="1"/>
  <c r="H418" i="1"/>
  <c r="C12" i="5"/>
  <c r="D14" i="3"/>
  <c r="D21" i="5"/>
  <c r="E23" i="3"/>
  <c r="C44" i="5"/>
  <c r="D46" i="3"/>
  <c r="E46" i="5"/>
  <c r="F48" i="3"/>
  <c r="F47" i="5"/>
  <c r="G49" i="3"/>
  <c r="J49" i="3" s="1"/>
  <c r="H130" i="3"/>
  <c r="H213" i="3"/>
  <c r="E17" i="3"/>
  <c r="G38" i="3"/>
  <c r="J38" i="3" s="1"/>
  <c r="C54" i="3"/>
  <c r="F94" i="3"/>
  <c r="D158" i="3"/>
  <c r="H196" i="3"/>
  <c r="C202" i="3"/>
  <c r="C211" i="3"/>
  <c r="H234" i="3"/>
  <c r="C237" i="3"/>
  <c r="C239" i="3"/>
  <c r="H330" i="3"/>
  <c r="B196" i="5"/>
  <c r="B190" i="3"/>
  <c r="H190" i="3" s="1"/>
  <c r="B199" i="5"/>
  <c r="B193" i="3"/>
  <c r="B206" i="5"/>
  <c r="B200" i="3"/>
  <c r="H200" i="3" s="1"/>
  <c r="B231" i="5"/>
  <c r="B225" i="3"/>
  <c r="B235" i="5"/>
  <c r="B229" i="3"/>
  <c r="H229" i="3" s="1"/>
  <c r="B244" i="5"/>
  <c r="B238" i="3"/>
  <c r="B245" i="5"/>
  <c r="B239" i="3"/>
  <c r="H239" i="3" s="1"/>
  <c r="B250" i="5"/>
  <c r="B244" i="3"/>
  <c r="B252" i="5"/>
  <c r="B246" i="3"/>
  <c r="B254" i="5"/>
  <c r="B248" i="3"/>
  <c r="B255" i="5"/>
  <c r="B249" i="3"/>
  <c r="B257" i="5"/>
  <c r="B251" i="3"/>
  <c r="B258" i="5"/>
  <c r="B252" i="3"/>
  <c r="B259" i="5"/>
  <c r="B253" i="3"/>
  <c r="B261" i="5"/>
  <c r="B255" i="3"/>
  <c r="B264" i="5"/>
  <c r="B258" i="3"/>
  <c r="B267" i="5"/>
  <c r="B261" i="3"/>
  <c r="H261" i="3" s="1"/>
  <c r="B270" i="5"/>
  <c r="B264" i="3"/>
  <c r="B275" i="5"/>
  <c r="B269" i="3"/>
  <c r="H269" i="3" s="1"/>
  <c r="B283" i="5"/>
  <c r="B277" i="3"/>
  <c r="H277" i="3" s="1"/>
  <c r="B285" i="5"/>
  <c r="B279" i="3"/>
  <c r="B290" i="5"/>
  <c r="B284" i="3"/>
  <c r="H284" i="3" s="1"/>
  <c r="B293" i="5"/>
  <c r="B287" i="3"/>
  <c r="H287" i="3" s="1"/>
  <c r="B295" i="5"/>
  <c r="B289" i="3"/>
  <c r="B296" i="5"/>
  <c r="B290" i="3"/>
  <c r="H290" i="3" s="1"/>
  <c r="B299" i="5"/>
  <c r="B293" i="3"/>
  <c r="H293" i="3" s="1"/>
  <c r="B300" i="5"/>
  <c r="B294" i="3"/>
  <c r="B303" i="5"/>
  <c r="B297" i="3"/>
  <c r="H297" i="3" s="1"/>
  <c r="B307" i="5"/>
  <c r="B301" i="3"/>
  <c r="H301" i="3" s="1"/>
  <c r="B308" i="5"/>
  <c r="B302" i="3"/>
  <c r="H302" i="3" s="1"/>
  <c r="B309" i="5"/>
  <c r="B303" i="3"/>
  <c r="H303" i="3" s="1"/>
  <c r="C262" i="5"/>
  <c r="C210" i="5"/>
  <c r="C204" i="3"/>
  <c r="C214" i="5"/>
  <c r="C208" i="3"/>
  <c r="C218" i="5"/>
  <c r="C212" i="3"/>
  <c r="C223" i="5"/>
  <c r="C217" i="3"/>
  <c r="H217" i="3" s="1"/>
  <c r="C226" i="5"/>
  <c r="C220" i="3"/>
  <c r="H220" i="3" s="1"/>
  <c r="C228" i="5"/>
  <c r="C222" i="3"/>
  <c r="C229" i="5"/>
  <c r="C223" i="3"/>
  <c r="C236" i="5"/>
  <c r="C230" i="3"/>
  <c r="C238" i="5"/>
  <c r="C232" i="3"/>
  <c r="H232" i="3" s="1"/>
  <c r="C239" i="5"/>
  <c r="C233" i="3"/>
  <c r="C242" i="5"/>
  <c r="C236" i="3"/>
  <c r="C246" i="5"/>
  <c r="C240" i="3"/>
  <c r="C252" i="5"/>
  <c r="C246" i="3"/>
  <c r="C260" i="5"/>
  <c r="C254" i="3"/>
  <c r="H254" i="3" s="1"/>
  <c r="H117" i="1"/>
  <c r="H123" i="1"/>
  <c r="H125" i="1"/>
  <c r="H141" i="1"/>
  <c r="H148" i="1"/>
  <c r="H154" i="1"/>
  <c r="H164" i="1"/>
  <c r="H170" i="1"/>
  <c r="D10" i="3"/>
  <c r="G22" i="3"/>
  <c r="J22" i="3" s="1"/>
  <c r="G30" i="3"/>
  <c r="J30" i="3" s="1"/>
  <c r="D55" i="3"/>
  <c r="D150" i="3"/>
  <c r="H181" i="3"/>
  <c r="H186" i="3"/>
  <c r="C219" i="3"/>
  <c r="H219" i="3" s="1"/>
  <c r="C226" i="3"/>
  <c r="C241" i="3"/>
  <c r="C247" i="3"/>
  <c r="H247" i="3" s="1"/>
  <c r="H292" i="3"/>
  <c r="D191" i="5"/>
  <c r="D185" i="3"/>
  <c r="D200" i="5"/>
  <c r="D194" i="3"/>
  <c r="D203" i="5"/>
  <c r="D197" i="3"/>
  <c r="D207" i="5"/>
  <c r="D201" i="3"/>
  <c r="D215" i="5"/>
  <c r="D209" i="3"/>
  <c r="D221" i="5"/>
  <c r="D215" i="3"/>
  <c r="D224" i="5"/>
  <c r="D218" i="3"/>
  <c r="D232" i="5"/>
  <c r="D226" i="3"/>
  <c r="D242" i="5"/>
  <c r="D236" i="3"/>
  <c r="D248" i="5"/>
  <c r="D242" i="3"/>
  <c r="D250" i="5"/>
  <c r="D244" i="3"/>
  <c r="D251" i="5"/>
  <c r="D245" i="3"/>
  <c r="D255" i="5"/>
  <c r="D249" i="3"/>
  <c r="D259" i="5"/>
  <c r="D253" i="3"/>
  <c r="D260" i="5"/>
  <c r="D254" i="3"/>
  <c r="D263" i="5"/>
  <c r="D257" i="3"/>
  <c r="D267" i="5"/>
  <c r="D261" i="3"/>
  <c r="D268" i="5"/>
  <c r="D262" i="3"/>
  <c r="D274" i="5"/>
  <c r="D268" i="3"/>
  <c r="D277" i="5"/>
  <c r="D271" i="3"/>
  <c r="D279" i="5"/>
  <c r="D273" i="3"/>
  <c r="D280" i="5"/>
  <c r="D274" i="3"/>
  <c r="D286" i="5"/>
  <c r="D280" i="3"/>
  <c r="D288" i="5"/>
  <c r="D282" i="3"/>
  <c r="H391" i="1"/>
  <c r="H405" i="1"/>
  <c r="D11" i="3"/>
  <c r="D15" i="3"/>
  <c r="G18" i="3"/>
  <c r="J18" i="3" s="1"/>
  <c r="G26" i="3"/>
  <c r="J26" i="3" s="1"/>
  <c r="D35" i="3"/>
  <c r="D40" i="3"/>
  <c r="B63" i="3"/>
  <c r="C71" i="3"/>
  <c r="F87" i="3"/>
  <c r="F97" i="3"/>
  <c r="F107" i="3"/>
  <c r="F115" i="3"/>
  <c r="E127" i="3"/>
  <c r="F136" i="3"/>
  <c r="F150" i="3"/>
  <c r="F160" i="3"/>
  <c r="D169" i="3"/>
  <c r="D174" i="3"/>
  <c r="D184" i="3"/>
  <c r="G188" i="3"/>
  <c r="J188" i="3" s="1"/>
  <c r="G191" i="3"/>
  <c r="J191" i="3" s="1"/>
  <c r="D193" i="3"/>
  <c r="G199" i="3"/>
  <c r="J199" i="3" s="1"/>
  <c r="B206" i="3"/>
  <c r="A209" i="3"/>
  <c r="C210" i="3"/>
  <c r="H210" i="3" s="1"/>
  <c r="G211" i="3"/>
  <c r="J211" i="3" s="1"/>
  <c r="B216" i="3"/>
  <c r="H216" i="3" s="1"/>
  <c r="G217" i="3"/>
  <c r="J217" i="3" s="1"/>
  <c r="D219" i="3"/>
  <c r="C221" i="3"/>
  <c r="H221" i="3" s="1"/>
  <c r="G226" i="3"/>
  <c r="J226" i="3" s="1"/>
  <c r="C228" i="3"/>
  <c r="H228" i="3" s="1"/>
  <c r="B231" i="3"/>
  <c r="G232" i="3"/>
  <c r="J232" i="3" s="1"/>
  <c r="B236" i="3"/>
  <c r="H236" i="3" s="1"/>
  <c r="C238" i="3"/>
  <c r="D241" i="3"/>
  <c r="C243" i="3"/>
  <c r="H243" i="3" s="1"/>
  <c r="C245" i="3"/>
  <c r="H245" i="3" s="1"/>
  <c r="D247" i="3"/>
  <c r="C249" i="3"/>
  <c r="C251" i="3"/>
  <c r="C255" i="3"/>
  <c r="H255" i="3" s="1"/>
  <c r="C257" i="3"/>
  <c r="H257" i="3" s="1"/>
  <c r="B259" i="3"/>
  <c r="H259" i="3" s="1"/>
  <c r="B265" i="3"/>
  <c r="B267" i="3"/>
  <c r="H314" i="3"/>
  <c r="H348" i="3"/>
  <c r="H369" i="3"/>
  <c r="H408" i="3"/>
  <c r="H198" i="1"/>
  <c r="H209" i="1"/>
  <c r="C218" i="1"/>
  <c r="H218" i="1" s="1"/>
  <c r="C219" i="1"/>
  <c r="H219" i="1" s="1"/>
  <c r="C220" i="1"/>
  <c r="H220" i="1" s="1"/>
  <c r="H226" i="1"/>
  <c r="H249" i="1"/>
  <c r="H252" i="1"/>
  <c r="H259" i="1"/>
  <c r="H278" i="1"/>
  <c r="H295" i="1"/>
  <c r="H299" i="1"/>
  <c r="H332" i="1"/>
  <c r="H344" i="1"/>
  <c r="H349" i="1"/>
  <c r="H370" i="1"/>
  <c r="H371" i="1"/>
  <c r="H416" i="1"/>
  <c r="H423" i="1"/>
  <c r="B7" i="3"/>
  <c r="A5" i="5"/>
  <c r="E11" i="3"/>
  <c r="D16" i="3"/>
  <c r="D23" i="3"/>
  <c r="D31" i="3"/>
  <c r="E35" i="3"/>
  <c r="E40" i="3"/>
  <c r="D43" i="3"/>
  <c r="D47" i="3"/>
  <c r="F52" i="3"/>
  <c r="F64" i="3"/>
  <c r="F72" i="3"/>
  <c r="C79" i="3"/>
  <c r="F89" i="3"/>
  <c r="F98" i="3"/>
  <c r="B116" i="3"/>
  <c r="F128" i="3"/>
  <c r="E138" i="3"/>
  <c r="G153" i="3"/>
  <c r="J153" i="3" s="1"/>
  <c r="B164" i="3"/>
  <c r="A179" i="3"/>
  <c r="C180" i="3"/>
  <c r="H180" i="3" s="1"/>
  <c r="D181" i="3"/>
  <c r="A183" i="3"/>
  <c r="D186" i="3"/>
  <c r="B192" i="3"/>
  <c r="H192" i="3" s="1"/>
  <c r="B195" i="3"/>
  <c r="H195" i="3" s="1"/>
  <c r="G196" i="3"/>
  <c r="J196" i="3" s="1"/>
  <c r="D198" i="3"/>
  <c r="B203" i="3"/>
  <c r="C206" i="3"/>
  <c r="B209" i="3"/>
  <c r="D210" i="3"/>
  <c r="B212" i="3"/>
  <c r="B214" i="3"/>
  <c r="H214" i="3" s="1"/>
  <c r="C216" i="3"/>
  <c r="B218" i="3"/>
  <c r="H218" i="3" s="1"/>
  <c r="D221" i="3"/>
  <c r="B223" i="3"/>
  <c r="C225" i="3"/>
  <c r="D228" i="3"/>
  <c r="C231" i="3"/>
  <c r="C253" i="3"/>
  <c r="H359" i="3"/>
  <c r="F188" i="5"/>
  <c r="F182" i="3"/>
  <c r="F197" i="5"/>
  <c r="F191" i="3"/>
  <c r="F216" i="5"/>
  <c r="F210" i="3"/>
  <c r="F219" i="5"/>
  <c r="F213" i="3"/>
  <c r="F221" i="5"/>
  <c r="F215" i="3"/>
  <c r="F225" i="5"/>
  <c r="F219" i="3"/>
  <c r="F229" i="5"/>
  <c r="F223" i="3"/>
  <c r="F232" i="5"/>
  <c r="F226" i="3"/>
  <c r="F239" i="5"/>
  <c r="F233" i="3"/>
  <c r="F243" i="5"/>
  <c r="F237" i="3"/>
  <c r="F245" i="5"/>
  <c r="F239" i="3"/>
  <c r="F247" i="5"/>
  <c r="F241" i="3"/>
  <c r="F255" i="5"/>
  <c r="F249" i="3"/>
  <c r="F256" i="5"/>
  <c r="F250" i="3"/>
  <c r="E12" i="3"/>
  <c r="E16" i="3"/>
  <c r="D19" i="3"/>
  <c r="D27" i="3"/>
  <c r="E32" i="3"/>
  <c r="E36" i="3"/>
  <c r="F56" i="3"/>
  <c r="G64" i="3"/>
  <c r="J64" i="3" s="1"/>
  <c r="F110" i="3"/>
  <c r="B140" i="3"/>
  <c r="H197" i="3"/>
  <c r="C203" i="3"/>
  <c r="C209" i="3"/>
  <c r="C214" i="3"/>
  <c r="C218" i="3"/>
  <c r="H233" i="3"/>
  <c r="H240" i="3"/>
  <c r="G201" i="5"/>
  <c r="G195" i="3"/>
  <c r="J195" i="3" s="1"/>
  <c r="G204" i="5"/>
  <c r="G198" i="3"/>
  <c r="J198" i="3" s="1"/>
  <c r="G208" i="5"/>
  <c r="G202" i="3"/>
  <c r="J202" i="3" s="1"/>
  <c r="G211" i="5"/>
  <c r="G205" i="3"/>
  <c r="J205" i="3" s="1"/>
  <c r="G219" i="5"/>
  <c r="G213" i="3"/>
  <c r="J213" i="3" s="1"/>
  <c r="G222" i="5"/>
  <c r="G216" i="3"/>
  <c r="J216" i="3" s="1"/>
  <c r="G227" i="5"/>
  <c r="G221" i="3"/>
  <c r="J221" i="3" s="1"/>
  <c r="G230" i="5"/>
  <c r="G224" i="3"/>
  <c r="J224" i="3" s="1"/>
  <c r="G233" i="5"/>
  <c r="G227" i="3"/>
  <c r="J227" i="3" s="1"/>
  <c r="G237" i="5"/>
  <c r="G231" i="3"/>
  <c r="J231" i="3" s="1"/>
  <c r="G253" i="5"/>
  <c r="G247" i="3"/>
  <c r="J247" i="3" s="1"/>
  <c r="G256" i="5"/>
  <c r="G250" i="3"/>
  <c r="J250" i="3" s="1"/>
  <c r="G258" i="5"/>
  <c r="G252" i="3"/>
  <c r="J252" i="3" s="1"/>
  <c r="G265" i="5"/>
  <c r="G259" i="3"/>
  <c r="J259" i="3" s="1"/>
  <c r="G270" i="5"/>
  <c r="G264" i="3"/>
  <c r="J264" i="3" s="1"/>
  <c r="G271" i="5"/>
  <c r="G265" i="3"/>
  <c r="J265" i="3" s="1"/>
  <c r="G272" i="5"/>
  <c r="G266" i="3"/>
  <c r="J266" i="3" s="1"/>
  <c r="G274" i="5"/>
  <c r="G268" i="3"/>
  <c r="J268" i="3" s="1"/>
  <c r="G277" i="5"/>
  <c r="G271" i="3"/>
  <c r="J271" i="3" s="1"/>
  <c r="G280" i="5"/>
  <c r="G274" i="3"/>
  <c r="J274" i="3" s="1"/>
  <c r="G281" i="5"/>
  <c r="G275" i="3"/>
  <c r="J275" i="3" s="1"/>
  <c r="G283" i="5"/>
  <c r="G277" i="3"/>
  <c r="J277" i="3" s="1"/>
  <c r="G286" i="5"/>
  <c r="G280" i="3"/>
  <c r="J280" i="3" s="1"/>
  <c r="E19" i="3"/>
  <c r="E24" i="3"/>
  <c r="E27" i="3"/>
  <c r="E44" i="3"/>
  <c r="F49" i="3"/>
  <c r="G53" i="3"/>
  <c r="J53" i="3" s="1"/>
  <c r="F73" i="3"/>
  <c r="F81" i="3"/>
  <c r="F91" i="3"/>
  <c r="C165" i="3"/>
  <c r="C179" i="3"/>
  <c r="H179" i="3" s="1"/>
  <c r="E180" i="3"/>
  <c r="G181" i="3"/>
  <c r="J181" i="3" s="1"/>
  <c r="D183" i="3"/>
  <c r="B185" i="3"/>
  <c r="H185" i="3" s="1"/>
  <c r="D192" i="3"/>
  <c r="D195" i="3"/>
  <c r="D200" i="3"/>
  <c r="D203" i="3"/>
  <c r="C205" i="3"/>
  <c r="H205" i="3" s="1"/>
  <c r="B208" i="3"/>
  <c r="H208" i="3" s="1"/>
  <c r="C227" i="3"/>
  <c r="H227" i="3" s="1"/>
  <c r="C235" i="3"/>
  <c r="H235" i="3" s="1"/>
  <c r="C248" i="3"/>
  <c r="H271" i="3"/>
  <c r="H291" i="3"/>
  <c r="H355" i="3"/>
  <c r="H383" i="3"/>
  <c r="A234" i="5"/>
  <c r="A228" i="3"/>
  <c r="H414" i="1"/>
  <c r="B106" i="3"/>
  <c r="A104" i="5"/>
  <c r="E8" i="3"/>
  <c r="E20" i="3"/>
  <c r="E28" i="3"/>
  <c r="B54" i="3"/>
  <c r="H54" i="3" s="1"/>
  <c r="G57" i="3"/>
  <c r="J57" i="3" s="1"/>
  <c r="B67" i="3"/>
  <c r="F82" i="3"/>
  <c r="C103" i="3"/>
  <c r="F111" i="3"/>
  <c r="G121" i="3"/>
  <c r="J121" i="3" s="1"/>
  <c r="G145" i="3"/>
  <c r="J145" i="3" s="1"/>
  <c r="E157" i="3"/>
  <c r="F166" i="3"/>
  <c r="D172" i="3"/>
  <c r="E175" i="3"/>
  <c r="G180" i="3"/>
  <c r="J180" i="3" s="1"/>
  <c r="B182" i="3"/>
  <c r="H182" i="3" s="1"/>
  <c r="F183" i="3"/>
  <c r="A187" i="3"/>
  <c r="B188" i="3"/>
  <c r="H188" i="3" s="1"/>
  <c r="D189" i="3"/>
  <c r="G190" i="3"/>
  <c r="J190" i="3" s="1"/>
  <c r="F192" i="3"/>
  <c r="B194" i="3"/>
  <c r="F195" i="3"/>
  <c r="F197" i="3"/>
  <c r="F200" i="3"/>
  <c r="B202" i="3"/>
  <c r="D205" i="3"/>
  <c r="G206" i="3"/>
  <c r="J206" i="3" s="1"/>
  <c r="D208" i="3"/>
  <c r="G209" i="3"/>
  <c r="J209" i="3" s="1"/>
  <c r="B211" i="3"/>
  <c r="H211" i="3" s="1"/>
  <c r="G212" i="3"/>
  <c r="J212" i="3" s="1"/>
  <c r="G218" i="3"/>
  <c r="J218" i="3" s="1"/>
  <c r="D220" i="3"/>
  <c r="B222" i="3"/>
  <c r="H222" i="3" s="1"/>
  <c r="G225" i="3"/>
  <c r="J225" i="3" s="1"/>
  <c r="D227" i="3"/>
  <c r="B230" i="3"/>
  <c r="H230" i="3" s="1"/>
  <c r="G233" i="3"/>
  <c r="J233" i="3" s="1"/>
  <c r="D235" i="3"/>
  <c r="B237" i="3"/>
  <c r="C242" i="3"/>
  <c r="H242" i="3" s="1"/>
  <c r="C244" i="3"/>
  <c r="D248" i="3"/>
  <c r="C250" i="3"/>
  <c r="H250" i="3" s="1"/>
  <c r="C252" i="3"/>
  <c r="B256" i="3"/>
  <c r="C258" i="3"/>
  <c r="B260" i="3"/>
  <c r="H260" i="3" s="1"/>
  <c r="B266" i="3"/>
  <c r="H266" i="3" s="1"/>
  <c r="B268" i="3"/>
  <c r="H268" i="3" s="1"/>
  <c r="B272" i="3"/>
  <c r="H279" i="3"/>
  <c r="H298" i="3"/>
  <c r="H300" i="3"/>
  <c r="H337" i="3"/>
  <c r="H342" i="3"/>
  <c r="H347" i="3"/>
  <c r="H378" i="3"/>
  <c r="C268" i="5"/>
  <c r="C262" i="3"/>
  <c r="H262" i="3" s="1"/>
  <c r="C271" i="5"/>
  <c r="C265" i="3"/>
  <c r="C273" i="5"/>
  <c r="C267" i="3"/>
  <c r="C276" i="5"/>
  <c r="C270" i="3"/>
  <c r="H270" i="3" s="1"/>
  <c r="C279" i="5"/>
  <c r="C273" i="3"/>
  <c r="H273" i="3" s="1"/>
  <c r="C282" i="5"/>
  <c r="C276" i="3"/>
  <c r="C284" i="5"/>
  <c r="C278" i="3"/>
  <c r="H278" i="3" s="1"/>
  <c r="C287" i="5"/>
  <c r="C281" i="3"/>
  <c r="H281" i="3" s="1"/>
  <c r="C291" i="5"/>
  <c r="C285" i="3"/>
  <c r="H285" i="3" s="1"/>
  <c r="C292" i="5"/>
  <c r="C286" i="3"/>
  <c r="H286" i="3" s="1"/>
  <c r="C294" i="5"/>
  <c r="C288" i="3"/>
  <c r="C295" i="5"/>
  <c r="C289" i="3"/>
  <c r="C300" i="5"/>
  <c r="C294" i="3"/>
  <c r="C310" i="5"/>
  <c r="C304" i="3"/>
  <c r="C312" i="5"/>
  <c r="C306" i="3"/>
  <c r="C315" i="5"/>
  <c r="C309" i="3"/>
  <c r="H309" i="3" s="1"/>
  <c r="D297" i="5"/>
  <c r="D291" i="3"/>
  <c r="D298" i="5"/>
  <c r="D292" i="3"/>
  <c r="D303" i="5"/>
  <c r="D297" i="3"/>
  <c r="D304" i="5"/>
  <c r="D298" i="3"/>
  <c r="D305" i="5"/>
  <c r="D299" i="3"/>
  <c r="D306" i="5"/>
  <c r="D300" i="3"/>
  <c r="D309" i="5"/>
  <c r="D303" i="3"/>
  <c r="D313" i="5"/>
  <c r="D307" i="3"/>
  <c r="D320" i="5"/>
  <c r="D314" i="3"/>
  <c r="D323" i="5"/>
  <c r="D317" i="3"/>
  <c r="D328" i="5"/>
  <c r="D322" i="3"/>
  <c r="D332" i="5"/>
  <c r="D326" i="3"/>
  <c r="D335" i="5"/>
  <c r="D329" i="3"/>
  <c r="D337" i="5"/>
  <c r="D331" i="3"/>
  <c r="D340" i="5"/>
  <c r="D334" i="3"/>
  <c r="D342" i="5"/>
  <c r="D336" i="3"/>
  <c r="D343" i="5"/>
  <c r="D337" i="3"/>
  <c r="D347" i="5"/>
  <c r="D341" i="3"/>
  <c r="D349" i="5"/>
  <c r="D343" i="3"/>
  <c r="D351" i="5"/>
  <c r="D345" i="3"/>
  <c r="D352" i="5"/>
  <c r="D346" i="3"/>
  <c r="F262" i="5"/>
  <c r="F256" i="3"/>
  <c r="F264" i="5"/>
  <c r="F258" i="3"/>
  <c r="F265" i="5"/>
  <c r="F259" i="3"/>
  <c r="F269" i="5"/>
  <c r="F263" i="3"/>
  <c r="F272" i="5"/>
  <c r="F266" i="3"/>
  <c r="F277" i="5"/>
  <c r="F271" i="3"/>
  <c r="F285" i="5"/>
  <c r="F279" i="3"/>
  <c r="F288" i="5"/>
  <c r="F282" i="3"/>
  <c r="F291" i="5"/>
  <c r="F285" i="3"/>
  <c r="F292" i="5"/>
  <c r="F286" i="3"/>
  <c r="F293" i="5"/>
  <c r="F287" i="3"/>
  <c r="F296" i="5"/>
  <c r="F290" i="3"/>
  <c r="F301" i="5"/>
  <c r="F295" i="3"/>
  <c r="G298" i="5"/>
  <c r="G292" i="3"/>
  <c r="J292" i="3" s="1"/>
  <c r="G301" i="5"/>
  <c r="G295" i="3"/>
  <c r="J295" i="3" s="1"/>
  <c r="G303" i="5"/>
  <c r="G297" i="3"/>
  <c r="J297" i="3" s="1"/>
  <c r="G305" i="5"/>
  <c r="G299" i="3"/>
  <c r="J299" i="3" s="1"/>
  <c r="G307" i="5"/>
  <c r="G301" i="3"/>
  <c r="J301" i="3" s="1"/>
  <c r="G310" i="5"/>
  <c r="G304" i="3"/>
  <c r="J304" i="3" s="1"/>
  <c r="G313" i="5"/>
  <c r="G307" i="3"/>
  <c r="J307" i="3" s="1"/>
  <c r="G314" i="5"/>
  <c r="G308" i="3"/>
  <c r="J308" i="3" s="1"/>
  <c r="A307" i="5"/>
  <c r="A301" i="3"/>
  <c r="A319" i="5"/>
  <c r="A313" i="3"/>
  <c r="A321" i="5"/>
  <c r="A315" i="3"/>
  <c r="A354" i="5"/>
  <c r="A348" i="3"/>
  <c r="A361" i="5"/>
  <c r="A355" i="3"/>
  <c r="A362" i="5"/>
  <c r="A356" i="3"/>
  <c r="A363" i="5"/>
  <c r="A357" i="3"/>
  <c r="A367" i="5"/>
  <c r="A361" i="3"/>
  <c r="A258" i="3"/>
  <c r="C275" i="3"/>
  <c r="H275" i="3" s="1"/>
  <c r="A292" i="3"/>
  <c r="D295" i="3"/>
  <c r="H322" i="3"/>
  <c r="H329" i="3"/>
  <c r="H351" i="3"/>
  <c r="H367" i="3"/>
  <c r="H370" i="3"/>
  <c r="H371" i="3"/>
  <c r="H374" i="3"/>
  <c r="H390" i="3"/>
  <c r="H394" i="3"/>
  <c r="H395" i="3"/>
  <c r="F310" i="5"/>
  <c r="F304" i="3"/>
  <c r="F316" i="5"/>
  <c r="F310" i="3"/>
  <c r="F318" i="5"/>
  <c r="F312" i="3"/>
  <c r="F319" i="5"/>
  <c r="F313" i="3"/>
  <c r="F324" i="5"/>
  <c r="F318" i="3"/>
  <c r="F327" i="5"/>
  <c r="F321" i="3"/>
  <c r="G323" i="5"/>
  <c r="G317" i="3"/>
  <c r="J317" i="3" s="1"/>
  <c r="G326" i="5"/>
  <c r="G320" i="3"/>
  <c r="J320" i="3" s="1"/>
  <c r="G333" i="5"/>
  <c r="G327" i="3"/>
  <c r="J327" i="3" s="1"/>
  <c r="G336" i="5"/>
  <c r="G330" i="3"/>
  <c r="J330" i="3" s="1"/>
  <c r="G341" i="5"/>
  <c r="G335" i="3"/>
  <c r="J335" i="3" s="1"/>
  <c r="A370" i="5"/>
  <c r="A364" i="3"/>
  <c r="A378" i="5"/>
  <c r="A372" i="3"/>
  <c r="A385" i="5"/>
  <c r="A379" i="3"/>
  <c r="A387" i="5"/>
  <c r="A381" i="3"/>
  <c r="B311" i="3"/>
  <c r="C319" i="3"/>
  <c r="H319" i="3" s="1"/>
  <c r="C321" i="3"/>
  <c r="H321" i="3" s="1"/>
  <c r="H338" i="3"/>
  <c r="H372" i="3"/>
  <c r="B312" i="5"/>
  <c r="B306" i="3"/>
  <c r="H306" i="3" s="1"/>
  <c r="B318" i="5"/>
  <c r="B312" i="3"/>
  <c r="B322" i="5"/>
  <c r="B316" i="3"/>
  <c r="B325" i="5"/>
  <c r="B319" i="3"/>
  <c r="B326" i="5"/>
  <c r="B320" i="3"/>
  <c r="B330" i="5"/>
  <c r="B324" i="3"/>
  <c r="H324" i="3" s="1"/>
  <c r="B331" i="5"/>
  <c r="B325" i="3"/>
  <c r="H325" i="3" s="1"/>
  <c r="B338" i="5"/>
  <c r="B332" i="3"/>
  <c r="H332" i="3" s="1"/>
  <c r="B340" i="5"/>
  <c r="B334" i="3"/>
  <c r="H334" i="3" s="1"/>
  <c r="C317" i="5"/>
  <c r="C311" i="3"/>
  <c r="C322" i="5"/>
  <c r="C316" i="3"/>
  <c r="H316" i="3" s="1"/>
  <c r="C331" i="5"/>
  <c r="C325" i="3"/>
  <c r="C334" i="5"/>
  <c r="C328" i="3"/>
  <c r="C339" i="5"/>
  <c r="C333" i="3"/>
  <c r="H333" i="3" s="1"/>
  <c r="F348" i="5"/>
  <c r="F342" i="3"/>
  <c r="F352" i="5"/>
  <c r="F346" i="3"/>
  <c r="G344" i="5"/>
  <c r="G338" i="3"/>
  <c r="J338" i="3" s="1"/>
  <c r="G353" i="5"/>
  <c r="G347" i="3"/>
  <c r="J347" i="3" s="1"/>
  <c r="G372" i="5"/>
  <c r="G366" i="3"/>
  <c r="J366" i="3" s="1"/>
  <c r="A403" i="5"/>
  <c r="A397" i="3"/>
  <c r="A404" i="5"/>
  <c r="A398" i="3"/>
  <c r="A409" i="5"/>
  <c r="A403" i="3"/>
  <c r="A410" i="5"/>
  <c r="A404" i="3"/>
  <c r="D417" i="5"/>
  <c r="D411" i="3"/>
  <c r="F326" i="3"/>
  <c r="B339" i="3"/>
  <c r="H339" i="3" s="1"/>
  <c r="B345" i="3"/>
  <c r="H345" i="3" s="1"/>
  <c r="B349" i="3"/>
  <c r="H349" i="3" s="1"/>
  <c r="D350" i="3"/>
  <c r="D353" i="3"/>
  <c r="A409" i="3"/>
  <c r="B346" i="5"/>
  <c r="B340" i="3"/>
  <c r="H340" i="3" s="1"/>
  <c r="B350" i="5"/>
  <c r="B344" i="3"/>
  <c r="B362" i="5"/>
  <c r="B356" i="3"/>
  <c r="H356" i="3" s="1"/>
  <c r="C357" i="5"/>
  <c r="C351" i="3"/>
  <c r="C363" i="5"/>
  <c r="C357" i="3"/>
  <c r="H357" i="3" s="1"/>
  <c r="C364" i="5"/>
  <c r="C358" i="3"/>
  <c r="H358" i="3" s="1"/>
  <c r="C369" i="5"/>
  <c r="C363" i="3"/>
  <c r="H363" i="3" s="1"/>
  <c r="F352" i="3"/>
  <c r="B362" i="3"/>
  <c r="H362" i="3" s="1"/>
  <c r="D364" i="3"/>
  <c r="D369" i="3"/>
  <c r="G371" i="3"/>
  <c r="J371" i="3" s="1"/>
  <c r="G383" i="3"/>
  <c r="J383" i="3" s="1"/>
  <c r="F13" i="5"/>
  <c r="G15" i="3"/>
  <c r="J15" i="3" s="1"/>
  <c r="E28" i="5"/>
  <c r="F30" i="3"/>
  <c r="F91" i="5"/>
  <c r="G93" i="3"/>
  <c r="J93" i="3" s="1"/>
  <c r="A109" i="5"/>
  <c r="B111" i="3"/>
  <c r="H111" i="3" s="1"/>
  <c r="E114" i="5"/>
  <c r="F116" i="3"/>
  <c r="D121" i="5"/>
  <c r="E123" i="3"/>
  <c r="A133" i="5"/>
  <c r="B135" i="3"/>
  <c r="A156" i="5"/>
  <c r="B158" i="3"/>
  <c r="C105" i="3"/>
  <c r="E29" i="3"/>
  <c r="C66" i="3"/>
  <c r="B143" i="3"/>
  <c r="F185" i="5"/>
  <c r="F179" i="3"/>
  <c r="E187" i="5"/>
  <c r="E181" i="3"/>
  <c r="E189" i="5"/>
  <c r="E183" i="3"/>
  <c r="E191" i="5"/>
  <c r="E185" i="3"/>
  <c r="E192" i="5"/>
  <c r="E186" i="3"/>
  <c r="E194" i="5"/>
  <c r="E188" i="3"/>
  <c r="E196" i="5"/>
  <c r="E190" i="3"/>
  <c r="E198" i="5"/>
  <c r="E192" i="3"/>
  <c r="E199" i="5"/>
  <c r="E193" i="3"/>
  <c r="E201" i="5"/>
  <c r="E195" i="3"/>
  <c r="E202" i="5"/>
  <c r="E196" i="3"/>
  <c r="E204" i="5"/>
  <c r="E198" i="3"/>
  <c r="E205" i="5"/>
  <c r="E199" i="3"/>
  <c r="E206" i="5"/>
  <c r="E200" i="3"/>
  <c r="E208" i="5"/>
  <c r="E202" i="3"/>
  <c r="E210" i="5"/>
  <c r="E204" i="3"/>
  <c r="E212" i="5"/>
  <c r="E206" i="3"/>
  <c r="E214" i="5"/>
  <c r="E208" i="3"/>
  <c r="E216" i="5"/>
  <c r="E210" i="3"/>
  <c r="E218" i="5"/>
  <c r="E212" i="3"/>
  <c r="E223" i="5"/>
  <c r="E217" i="3"/>
  <c r="E225" i="5"/>
  <c r="E219" i="3"/>
  <c r="E226" i="5"/>
  <c r="E220" i="3"/>
  <c r="E228" i="5"/>
  <c r="E222" i="3"/>
  <c r="E229" i="5"/>
  <c r="E223" i="3"/>
  <c r="E231" i="5"/>
  <c r="E225" i="3"/>
  <c r="E232" i="5"/>
  <c r="E226" i="3"/>
  <c r="E234" i="5"/>
  <c r="E228" i="3"/>
  <c r="E236" i="5"/>
  <c r="E230" i="3"/>
  <c r="E238" i="5"/>
  <c r="E232" i="3"/>
  <c r="E239" i="5"/>
  <c r="E233" i="3"/>
  <c r="E240" i="5"/>
  <c r="E234" i="3"/>
  <c r="E242" i="5"/>
  <c r="E236" i="3"/>
  <c r="E244" i="5"/>
  <c r="E238" i="3"/>
  <c r="E246" i="5"/>
  <c r="E240" i="3"/>
  <c r="E248" i="5"/>
  <c r="E242" i="3"/>
  <c r="E251" i="5"/>
  <c r="E245" i="3"/>
  <c r="E255" i="5"/>
  <c r="E249" i="3"/>
  <c r="E257" i="5"/>
  <c r="E251" i="3"/>
  <c r="E260" i="1"/>
  <c r="E258" i="5"/>
  <c r="E252" i="3"/>
  <c r="E263" i="5"/>
  <c r="E257" i="3"/>
  <c r="E266" i="1"/>
  <c r="E265" i="5"/>
  <c r="E259" i="3"/>
  <c r="E268" i="1"/>
  <c r="E267" i="5"/>
  <c r="E261" i="3"/>
  <c r="E268" i="5"/>
  <c r="E262" i="3"/>
  <c r="E269" i="5"/>
  <c r="E263" i="3"/>
  <c r="E271" i="5"/>
  <c r="E265" i="3"/>
  <c r="E274" i="1"/>
  <c r="E273" i="5"/>
  <c r="E267" i="3"/>
  <c r="E276" i="1"/>
  <c r="E275" i="5"/>
  <c r="E269" i="3"/>
  <c r="E277" i="5"/>
  <c r="E271" i="3"/>
  <c r="E278" i="5"/>
  <c r="E272" i="3"/>
  <c r="E279" i="5"/>
  <c r="E282" i="1"/>
  <c r="E281" i="5"/>
  <c r="E275" i="3"/>
  <c r="E284" i="1"/>
  <c r="E283" i="5"/>
  <c r="E277" i="3"/>
  <c r="E285" i="5"/>
  <c r="E279" i="3"/>
  <c r="E287" i="5"/>
  <c r="E290" i="1"/>
  <c r="E281" i="3"/>
  <c r="E289" i="5"/>
  <c r="E283" i="3"/>
  <c r="E292" i="1"/>
  <c r="E291" i="5"/>
  <c r="E285" i="3"/>
  <c r="E293" i="5"/>
  <c r="E287" i="3"/>
  <c r="E295" i="5"/>
  <c r="E289" i="3"/>
  <c r="E298" i="1"/>
  <c r="E297" i="5"/>
  <c r="E291" i="3"/>
  <c r="E300" i="1"/>
  <c r="E299" i="5"/>
  <c r="E293" i="3"/>
  <c r="E301" i="5"/>
  <c r="E295" i="3"/>
  <c r="E304" i="5"/>
  <c r="E298" i="3"/>
  <c r="E308" i="5"/>
  <c r="E302" i="3"/>
  <c r="E309" i="5"/>
  <c r="E303" i="3"/>
  <c r="E311" i="5"/>
  <c r="E305" i="3"/>
  <c r="E314" i="1"/>
  <c r="E313" i="5"/>
  <c r="E307" i="3"/>
  <c r="E316" i="1"/>
  <c r="E315" i="5"/>
  <c r="E309" i="3"/>
  <c r="E317" i="5"/>
  <c r="E311" i="3"/>
  <c r="E319" i="5"/>
  <c r="E322" i="1"/>
  <c r="E313" i="3"/>
  <c r="E321" i="5"/>
  <c r="E315" i="3"/>
  <c r="E324" i="1"/>
  <c r="E323" i="5"/>
  <c r="E317" i="3"/>
  <c r="E325" i="5"/>
  <c r="E319" i="3"/>
  <c r="E327" i="5"/>
  <c r="E321" i="3"/>
  <c r="E330" i="1"/>
  <c r="E328" i="5"/>
  <c r="E322" i="3"/>
  <c r="E330" i="5"/>
  <c r="E324" i="3"/>
  <c r="E332" i="5"/>
  <c r="E326" i="3"/>
  <c r="E334" i="5"/>
  <c r="E328" i="3"/>
  <c r="E336" i="5"/>
  <c r="E330" i="3"/>
  <c r="E339" i="5"/>
  <c r="E333" i="3"/>
  <c r="E340" i="5"/>
  <c r="E334" i="3"/>
  <c r="E342" i="5"/>
  <c r="E336" i="3"/>
  <c r="E343" i="5"/>
  <c r="E346" i="1"/>
  <c r="E344" i="5"/>
  <c r="E338" i="3"/>
  <c r="E346" i="5"/>
  <c r="E340" i="3"/>
  <c r="E347" i="5"/>
  <c r="E341" i="3"/>
  <c r="E348" i="5"/>
  <c r="E342" i="3"/>
  <c r="E349" i="5"/>
  <c r="E343" i="3"/>
  <c r="E352" i="1"/>
  <c r="E350" i="5"/>
  <c r="E344" i="3"/>
  <c r="E351" i="5"/>
  <c r="E354" i="1"/>
  <c r="E345" i="3"/>
  <c r="E352" i="5"/>
  <c r="E346" i="3"/>
  <c r="E353" i="5"/>
  <c r="E347" i="3"/>
  <c r="E356" i="1"/>
  <c r="E354" i="5"/>
  <c r="E348" i="3"/>
  <c r="E355" i="5"/>
  <c r="E349" i="3"/>
  <c r="E356" i="5"/>
  <c r="E350" i="3"/>
  <c r="E357" i="5"/>
  <c r="E351" i="3"/>
  <c r="E360" i="1"/>
  <c r="E358" i="5"/>
  <c r="E352" i="3"/>
  <c r="E359" i="5"/>
  <c r="E353" i="3"/>
  <c r="E362" i="1"/>
  <c r="E360" i="5"/>
  <c r="E354" i="3"/>
  <c r="E361" i="5"/>
  <c r="E355" i="3"/>
  <c r="E364" i="1"/>
  <c r="E356" i="3"/>
  <c r="E362" i="5"/>
  <c r="E364" i="5"/>
  <c r="E358" i="3"/>
  <c r="E365" i="5"/>
  <c r="E359" i="3"/>
  <c r="E368" i="1"/>
  <c r="E366" i="5"/>
  <c r="E360" i="3"/>
  <c r="E367" i="5"/>
  <c r="E361" i="3"/>
  <c r="E370" i="1"/>
  <c r="E368" i="5"/>
  <c r="E362" i="3"/>
  <c r="E369" i="5"/>
  <c r="E363" i="3"/>
  <c r="E372" i="1"/>
  <c r="E370" i="5"/>
  <c r="E364" i="3"/>
  <c r="E371" i="5"/>
  <c r="E365" i="3"/>
  <c r="E372" i="5"/>
  <c r="E366" i="3"/>
  <c r="E373" i="5"/>
  <c r="E367" i="3"/>
  <c r="E376" i="1"/>
  <c r="E374" i="5"/>
  <c r="E368" i="3"/>
  <c r="E375" i="5"/>
  <c r="E369" i="3"/>
  <c r="E378" i="1"/>
  <c r="E376" i="5"/>
  <c r="E370" i="3"/>
  <c r="E377" i="5"/>
  <c r="E371" i="3"/>
  <c r="E380" i="1"/>
  <c r="E378" i="5"/>
  <c r="E372" i="3"/>
  <c r="E379" i="5"/>
  <c r="E373" i="3"/>
  <c r="E380" i="5"/>
  <c r="E374" i="3"/>
  <c r="E381" i="5"/>
  <c r="E375" i="3"/>
  <c r="E384" i="1"/>
  <c r="E382" i="5"/>
  <c r="E376" i="3"/>
  <c r="E383" i="5"/>
  <c r="E386" i="1"/>
  <c r="E377" i="3"/>
  <c r="E384" i="5"/>
  <c r="E378" i="3"/>
  <c r="E385" i="5"/>
  <c r="E379" i="3"/>
  <c r="E388" i="1"/>
  <c r="E387" i="5"/>
  <c r="E381" i="3"/>
  <c r="E388" i="5"/>
  <c r="E382" i="3"/>
  <c r="E389" i="5"/>
  <c r="E383" i="3"/>
  <c r="E392" i="1"/>
  <c r="E390" i="5"/>
  <c r="E384" i="3"/>
  <c r="E391" i="5"/>
  <c r="E385" i="3"/>
  <c r="E394" i="1"/>
  <c r="E392" i="5"/>
  <c r="E386" i="3"/>
  <c r="E393" i="5"/>
  <c r="E387" i="3"/>
  <c r="E396" i="1"/>
  <c r="E394" i="5"/>
  <c r="E388" i="3"/>
  <c r="E395" i="5"/>
  <c r="E389" i="3"/>
  <c r="E396" i="5"/>
  <c r="E390" i="3"/>
  <c r="E397" i="5"/>
  <c r="E391" i="3"/>
  <c r="E400" i="1"/>
  <c r="E399" i="5"/>
  <c r="E402" i="1"/>
  <c r="E401" i="5"/>
  <c r="E395" i="3"/>
  <c r="E404" i="1"/>
  <c r="E402" i="5"/>
  <c r="E396" i="3"/>
  <c r="E403" i="5"/>
  <c r="E397" i="3"/>
  <c r="E404" i="5"/>
  <c r="E398" i="3"/>
  <c r="E405" i="5"/>
  <c r="E399" i="3"/>
  <c r="E408" i="1"/>
  <c r="E406" i="5"/>
  <c r="E400" i="3"/>
  <c r="E407" i="5"/>
  <c r="E401" i="3"/>
  <c r="E410" i="1"/>
  <c r="E408" i="5"/>
  <c r="E402" i="3"/>
  <c r="E409" i="5"/>
  <c r="E403" i="3"/>
  <c r="E412" i="1"/>
  <c r="E410" i="5"/>
  <c r="E404" i="3"/>
  <c r="E411" i="5"/>
  <c r="E405" i="3"/>
  <c r="E412" i="5"/>
  <c r="E406" i="3"/>
  <c r="E414" i="5"/>
  <c r="E408" i="3"/>
  <c r="B418" i="5"/>
  <c r="B412" i="3"/>
  <c r="H412" i="3" s="1"/>
  <c r="B421" i="1"/>
  <c r="H421" i="1" s="1"/>
  <c r="F420" i="5"/>
  <c r="F414" i="3"/>
  <c r="F423" i="1"/>
  <c r="B53" i="1"/>
  <c r="H53" i="1" s="1"/>
  <c r="B115" i="1"/>
  <c r="H115" i="1" s="1"/>
  <c r="B131" i="1"/>
  <c r="H131" i="1" s="1"/>
  <c r="B139" i="1"/>
  <c r="H139" i="1" s="1"/>
  <c r="B147" i="1"/>
  <c r="H147" i="1" s="1"/>
  <c r="B162" i="1"/>
  <c r="H162" i="1" s="1"/>
  <c r="B174" i="1"/>
  <c r="H174" i="1" s="1"/>
  <c r="E192" i="1"/>
  <c r="E208" i="1"/>
  <c r="E232" i="1"/>
  <c r="E256" i="1"/>
  <c r="E257" i="1"/>
  <c r="E258" i="1"/>
  <c r="E353" i="1"/>
  <c r="E355" i="1"/>
  <c r="E357" i="1"/>
  <c r="E358" i="1"/>
  <c r="E359" i="1"/>
  <c r="E417" i="1"/>
  <c r="D5" i="5"/>
  <c r="E7" i="3"/>
  <c r="E6" i="5"/>
  <c r="F8" i="3"/>
  <c r="F7" i="5"/>
  <c r="G9" i="3"/>
  <c r="J9" i="3" s="1"/>
  <c r="A9" i="5"/>
  <c r="B11" i="3"/>
  <c r="B11" i="5"/>
  <c r="C13" i="3"/>
  <c r="E14" i="5"/>
  <c r="F16" i="3"/>
  <c r="F15" i="5"/>
  <c r="G17" i="3"/>
  <c r="J17" i="3" s="1"/>
  <c r="A17" i="5"/>
  <c r="B19" i="3"/>
  <c r="B19" i="5"/>
  <c r="C21" i="3"/>
  <c r="E22" i="5"/>
  <c r="F24" i="3"/>
  <c r="F23" i="5"/>
  <c r="G25" i="3"/>
  <c r="J25" i="3" s="1"/>
  <c r="A25" i="5"/>
  <c r="B27" i="3"/>
  <c r="B27" i="5"/>
  <c r="C29" i="3"/>
  <c r="E30" i="5"/>
  <c r="F32" i="3"/>
  <c r="F31" i="5"/>
  <c r="G33" i="3"/>
  <c r="J33" i="3" s="1"/>
  <c r="A33" i="5"/>
  <c r="B35" i="3"/>
  <c r="B35" i="5"/>
  <c r="C37" i="3"/>
  <c r="E38" i="5"/>
  <c r="F40" i="3"/>
  <c r="F39" i="5"/>
  <c r="G41" i="3"/>
  <c r="J41" i="3" s="1"/>
  <c r="A41" i="5"/>
  <c r="B43" i="3"/>
  <c r="B43" i="5"/>
  <c r="C45" i="3"/>
  <c r="A49" i="5"/>
  <c r="B51" i="3"/>
  <c r="B51" i="5"/>
  <c r="C53" i="3"/>
  <c r="C52" i="5"/>
  <c r="D54" i="3"/>
  <c r="E53" i="5"/>
  <c r="F55" i="3"/>
  <c r="F54" i="5"/>
  <c r="G56" i="3"/>
  <c r="J56" i="3" s="1"/>
  <c r="A56" i="5"/>
  <c r="B58" i="3"/>
  <c r="D60" i="5"/>
  <c r="E62" i="3"/>
  <c r="E61" i="5"/>
  <c r="F63" i="3"/>
  <c r="B66" i="5"/>
  <c r="C68" i="3"/>
  <c r="C67" i="5"/>
  <c r="D69" i="3"/>
  <c r="D68" i="5"/>
  <c r="E70" i="3"/>
  <c r="F70" i="5"/>
  <c r="G72" i="3"/>
  <c r="J72" i="3" s="1"/>
  <c r="A72" i="5"/>
  <c r="B74" i="3"/>
  <c r="B74" i="5"/>
  <c r="C76" i="3"/>
  <c r="C75" i="5"/>
  <c r="D77" i="3"/>
  <c r="D76" i="5"/>
  <c r="E78" i="3"/>
  <c r="F77" i="5"/>
  <c r="G79" i="3"/>
  <c r="J79" i="3" s="1"/>
  <c r="A79" i="5"/>
  <c r="B81" i="3"/>
  <c r="C82" i="5"/>
  <c r="D84" i="3"/>
  <c r="D83" i="5"/>
  <c r="E85" i="3"/>
  <c r="F85" i="5"/>
  <c r="G87" i="3"/>
  <c r="J87" i="3" s="1"/>
  <c r="A87" i="5"/>
  <c r="B89" i="3"/>
  <c r="C90" i="5"/>
  <c r="D92" i="3"/>
  <c r="D91" i="5"/>
  <c r="E93" i="3"/>
  <c r="F93" i="5"/>
  <c r="G95" i="3"/>
  <c r="J95" i="3" s="1"/>
  <c r="A95" i="5"/>
  <c r="B97" i="3"/>
  <c r="C98" i="5"/>
  <c r="D100" i="3"/>
  <c r="D99" i="5"/>
  <c r="E101" i="3"/>
  <c r="F101" i="5"/>
  <c r="G103" i="3"/>
  <c r="J103" i="3" s="1"/>
  <c r="A103" i="5"/>
  <c r="B105" i="3"/>
  <c r="H105" i="3" s="1"/>
  <c r="C106" i="5"/>
  <c r="D108" i="3"/>
  <c r="D107" i="5"/>
  <c r="E109" i="3"/>
  <c r="D8" i="3"/>
  <c r="E10" i="3"/>
  <c r="E15" i="3"/>
  <c r="D20" i="3"/>
  <c r="D32" i="3"/>
  <c r="E34" i="3"/>
  <c r="E41" i="3"/>
  <c r="B49" i="3"/>
  <c r="B60" i="3"/>
  <c r="F71" i="3"/>
  <c r="C93" i="3"/>
  <c r="C109" i="3"/>
  <c r="D126" i="3"/>
  <c r="G137" i="3"/>
  <c r="J137" i="3" s="1"/>
  <c r="E143" i="3"/>
  <c r="C149" i="3"/>
  <c r="E154" i="3"/>
  <c r="E337" i="3"/>
  <c r="B127" i="5"/>
  <c r="C129" i="3"/>
  <c r="F92" i="3"/>
  <c r="F108" i="3"/>
  <c r="F163" i="3"/>
  <c r="F186" i="5"/>
  <c r="F180" i="3"/>
  <c r="E188" i="5"/>
  <c r="E182" i="3"/>
  <c r="E190" i="5"/>
  <c r="E184" i="3"/>
  <c r="E195" i="5"/>
  <c r="E189" i="3"/>
  <c r="E197" i="5"/>
  <c r="E191" i="3"/>
  <c r="E200" i="5"/>
  <c r="E194" i="3"/>
  <c r="E209" i="5"/>
  <c r="E203" i="3"/>
  <c r="E211" i="5"/>
  <c r="E205" i="3"/>
  <c r="E213" i="5"/>
  <c r="E207" i="3"/>
  <c r="E215" i="5"/>
  <c r="E209" i="3"/>
  <c r="E217" i="5"/>
  <c r="E211" i="3"/>
  <c r="E219" i="5"/>
  <c r="E213" i="3"/>
  <c r="E220" i="5"/>
  <c r="E214" i="3"/>
  <c r="E221" i="5"/>
  <c r="E215" i="3"/>
  <c r="E224" i="5"/>
  <c r="E218" i="3"/>
  <c r="E230" i="5"/>
  <c r="E224" i="3"/>
  <c r="E235" i="5"/>
  <c r="E229" i="3"/>
  <c r="E237" i="5"/>
  <c r="E231" i="3"/>
  <c r="E243" i="5"/>
  <c r="E237" i="3"/>
  <c r="E245" i="5"/>
  <c r="E239" i="3"/>
  <c r="E247" i="5"/>
  <c r="E241" i="3"/>
  <c r="E249" i="5"/>
  <c r="E243" i="3"/>
  <c r="E250" i="5"/>
  <c r="E244" i="3"/>
  <c r="E252" i="5"/>
  <c r="E246" i="3"/>
  <c r="E256" i="5"/>
  <c r="E250" i="3"/>
  <c r="E260" i="5"/>
  <c r="E254" i="3"/>
  <c r="E262" i="5"/>
  <c r="E256" i="3"/>
  <c r="E264" i="5"/>
  <c r="E258" i="3"/>
  <c r="E266" i="5"/>
  <c r="E260" i="3"/>
  <c r="E272" i="5"/>
  <c r="E266" i="3"/>
  <c r="E274" i="5"/>
  <c r="E268" i="3"/>
  <c r="E276" i="5"/>
  <c r="E270" i="3"/>
  <c r="E282" i="5"/>
  <c r="E276" i="3"/>
  <c r="E284" i="5"/>
  <c r="E278" i="3"/>
  <c r="E286" i="5"/>
  <c r="E280" i="3"/>
  <c r="E288" i="5"/>
  <c r="E282" i="3"/>
  <c r="E290" i="5"/>
  <c r="E284" i="3"/>
  <c r="E292" i="5"/>
  <c r="E286" i="3"/>
  <c r="E294" i="5"/>
  <c r="E288" i="3"/>
  <c r="E296" i="5"/>
  <c r="E290" i="3"/>
  <c r="E298" i="5"/>
  <c r="E292" i="3"/>
  <c r="E300" i="5"/>
  <c r="E294" i="3"/>
  <c r="E302" i="5"/>
  <c r="E296" i="3"/>
  <c r="E303" i="5"/>
  <c r="E297" i="3"/>
  <c r="E306" i="1"/>
  <c r="E305" i="5"/>
  <c r="E299" i="3"/>
  <c r="E308" i="1"/>
  <c r="E306" i="5"/>
  <c r="E300" i="3"/>
  <c r="E312" i="5"/>
  <c r="E306" i="3"/>
  <c r="E314" i="5"/>
  <c r="E308" i="3"/>
  <c r="E316" i="5"/>
  <c r="E310" i="3"/>
  <c r="E318" i="5"/>
  <c r="E312" i="3"/>
  <c r="E320" i="5"/>
  <c r="E314" i="3"/>
  <c r="E322" i="5"/>
  <c r="E316" i="3"/>
  <c r="E324" i="5"/>
  <c r="E318" i="3"/>
  <c r="E326" i="5"/>
  <c r="E320" i="3"/>
  <c r="E329" i="5"/>
  <c r="E323" i="3"/>
  <c r="E332" i="1"/>
  <c r="E331" i="5"/>
  <c r="E325" i="3"/>
  <c r="E333" i="5"/>
  <c r="E327" i="3"/>
  <c r="E335" i="5"/>
  <c r="E329" i="3"/>
  <c r="E338" i="1"/>
  <c r="E337" i="5"/>
  <c r="E331" i="3"/>
  <c r="E340" i="1"/>
  <c r="E338" i="5"/>
  <c r="E332" i="3"/>
  <c r="E341" i="5"/>
  <c r="E335" i="3"/>
  <c r="E345" i="5"/>
  <c r="E339" i="3"/>
  <c r="E348" i="1"/>
  <c r="E413" i="5"/>
  <c r="E407" i="3"/>
  <c r="E416" i="1"/>
  <c r="E415" i="5"/>
  <c r="E409" i="3"/>
  <c r="E418" i="1"/>
  <c r="G416" i="5"/>
  <c r="G410" i="3"/>
  <c r="J410" i="3" s="1"/>
  <c r="E419" i="5"/>
  <c r="E413" i="3"/>
  <c r="C62" i="1"/>
  <c r="H62" i="1" s="1"/>
  <c r="C70" i="1"/>
  <c r="H70" i="1" s="1"/>
  <c r="C85" i="1"/>
  <c r="H85" i="1" s="1"/>
  <c r="C93" i="1"/>
  <c r="H93" i="1" s="1"/>
  <c r="C101" i="1"/>
  <c r="H101" i="1" s="1"/>
  <c r="C109" i="1"/>
  <c r="H109" i="1" s="1"/>
  <c r="C133" i="1"/>
  <c r="H133" i="1" s="1"/>
  <c r="C156" i="1"/>
  <c r="H156" i="1" s="1"/>
  <c r="E193" i="1"/>
  <c r="E201" i="1"/>
  <c r="E209" i="1"/>
  <c r="E217" i="1"/>
  <c r="E225" i="1"/>
  <c r="E233" i="1"/>
  <c r="E241" i="1"/>
  <c r="E249" i="1"/>
  <c r="E259" i="1"/>
  <c r="E278" i="1"/>
  <c r="E279" i="1"/>
  <c r="E280" i="1"/>
  <c r="E281" i="1"/>
  <c r="E283" i="1"/>
  <c r="E310" i="1"/>
  <c r="E311" i="1"/>
  <c r="E312" i="1"/>
  <c r="E313" i="1"/>
  <c r="E315" i="1"/>
  <c r="E342" i="1"/>
  <c r="E343" i="1"/>
  <c r="E344" i="1"/>
  <c r="E345" i="1"/>
  <c r="E347" i="1"/>
  <c r="E349" i="1"/>
  <c r="E350" i="1"/>
  <c r="E351" i="1"/>
  <c r="H385" i="1"/>
  <c r="E409" i="1"/>
  <c r="E411" i="1"/>
  <c r="E413" i="1"/>
  <c r="E414" i="1"/>
  <c r="E415" i="1"/>
  <c r="E13" i="3"/>
  <c r="D25" i="3"/>
  <c r="D30" i="3"/>
  <c r="E39" i="3"/>
  <c r="D44" i="3"/>
  <c r="F57" i="3"/>
  <c r="C60" i="3"/>
  <c r="G67" i="3"/>
  <c r="J67" i="3" s="1"/>
  <c r="F77" i="3"/>
  <c r="C83" i="3"/>
  <c r="F88" i="3"/>
  <c r="C99" i="3"/>
  <c r="F104" i="3"/>
  <c r="F120" i="3"/>
  <c r="B127" i="3"/>
  <c r="B132" i="3"/>
  <c r="F144" i="3"/>
  <c r="E159" i="3"/>
  <c r="E227" i="3"/>
  <c r="E255" i="3"/>
  <c r="E264" i="3"/>
  <c r="E301" i="3"/>
  <c r="E393" i="3"/>
  <c r="E394" i="3"/>
  <c r="E20" i="5"/>
  <c r="E12" i="5"/>
  <c r="F14" i="3"/>
  <c r="B17" i="5"/>
  <c r="C19" i="3"/>
  <c r="F21" i="5"/>
  <c r="G23" i="3"/>
  <c r="J23" i="3" s="1"/>
  <c r="A23" i="5"/>
  <c r="B25" i="3"/>
  <c r="B25" i="5"/>
  <c r="C27" i="3"/>
  <c r="A31" i="5"/>
  <c r="B33" i="3"/>
  <c r="E36" i="5"/>
  <c r="F38" i="3"/>
  <c r="D51" i="5"/>
  <c r="E53" i="3"/>
  <c r="C57" i="5"/>
  <c r="D59" i="3"/>
  <c r="D66" i="5"/>
  <c r="E68" i="3"/>
  <c r="C73" i="5"/>
  <c r="D75" i="3"/>
  <c r="C96" i="5"/>
  <c r="D98" i="3"/>
  <c r="F99" i="5"/>
  <c r="G101" i="3"/>
  <c r="J101" i="3" s="1"/>
  <c r="C104" i="5"/>
  <c r="D106" i="3"/>
  <c r="F107" i="5"/>
  <c r="G109" i="3"/>
  <c r="J109" i="3" s="1"/>
  <c r="E115" i="3"/>
  <c r="D113" i="5"/>
  <c r="B119" i="5"/>
  <c r="C121" i="3"/>
  <c r="F123" i="5"/>
  <c r="G125" i="3"/>
  <c r="J125" i="3" s="1"/>
  <c r="E130" i="5"/>
  <c r="F132" i="3"/>
  <c r="B135" i="5"/>
  <c r="C137" i="3"/>
  <c r="D137" i="5"/>
  <c r="E139" i="3"/>
  <c r="E138" i="5"/>
  <c r="F140" i="3"/>
  <c r="F139" i="5"/>
  <c r="G141" i="3"/>
  <c r="J141" i="3" s="1"/>
  <c r="D144" i="5"/>
  <c r="E146" i="3"/>
  <c r="E172" i="5"/>
  <c r="F174" i="3"/>
  <c r="E37" i="3"/>
  <c r="D145" i="3"/>
  <c r="B9" i="5"/>
  <c r="C11" i="3"/>
  <c r="A15" i="5"/>
  <c r="B17" i="3"/>
  <c r="F29" i="5"/>
  <c r="G31" i="3"/>
  <c r="J31" i="3" s="1"/>
  <c r="B33" i="5"/>
  <c r="C35" i="3"/>
  <c r="F37" i="5"/>
  <c r="G39" i="3"/>
  <c r="J39" i="3" s="1"/>
  <c r="F45" i="5"/>
  <c r="G47" i="3"/>
  <c r="J47" i="3" s="1"/>
  <c r="C50" i="5"/>
  <c r="D52" i="3"/>
  <c r="E52" i="5"/>
  <c r="F54" i="3"/>
  <c r="D58" i="5"/>
  <c r="E60" i="3"/>
  <c r="F60" i="5"/>
  <c r="G62" i="3"/>
  <c r="J62" i="3" s="1"/>
  <c r="C65" i="5"/>
  <c r="D67" i="3"/>
  <c r="F68" i="5"/>
  <c r="G70" i="3"/>
  <c r="J70" i="3" s="1"/>
  <c r="D74" i="5"/>
  <c r="E76" i="3"/>
  <c r="C80" i="5"/>
  <c r="D82" i="3"/>
  <c r="F83" i="5"/>
  <c r="G85" i="3"/>
  <c r="J85" i="3" s="1"/>
  <c r="C88" i="5"/>
  <c r="D90" i="3"/>
  <c r="A101" i="5"/>
  <c r="B103" i="3"/>
  <c r="H103" i="3" s="1"/>
  <c r="D105" i="5"/>
  <c r="E107" i="3"/>
  <c r="B111" i="5"/>
  <c r="C113" i="3"/>
  <c r="A117" i="5"/>
  <c r="B119" i="3"/>
  <c r="E122" i="5"/>
  <c r="F124" i="3"/>
  <c r="C128" i="5"/>
  <c r="D130" i="3"/>
  <c r="C136" i="5"/>
  <c r="D138" i="3"/>
  <c r="A171" i="5"/>
  <c r="B173" i="3"/>
  <c r="H173" i="3" s="1"/>
  <c r="C89" i="3"/>
  <c r="E41" i="1"/>
  <c r="E57" i="1"/>
  <c r="E64" i="1"/>
  <c r="E72" i="1"/>
  <c r="E80" i="1"/>
  <c r="E111" i="1"/>
  <c r="E119" i="1"/>
  <c r="E143" i="1"/>
  <c r="E150" i="1"/>
  <c r="E158" i="1"/>
  <c r="E195" i="1"/>
  <c r="E203" i="1"/>
  <c r="E211" i="1"/>
  <c r="C58" i="3"/>
  <c r="F84" i="3"/>
  <c r="F18" i="1"/>
  <c r="F26" i="1"/>
  <c r="F34" i="1"/>
  <c r="F42" i="1"/>
  <c r="F58" i="1"/>
  <c r="F65" i="1"/>
  <c r="F73" i="1"/>
  <c r="F81" i="1"/>
  <c r="F88" i="1"/>
  <c r="F96" i="1"/>
  <c r="F104" i="1"/>
  <c r="F112" i="1"/>
  <c r="F120" i="1"/>
  <c r="F128" i="1"/>
  <c r="F136" i="1"/>
  <c r="F144" i="1"/>
  <c r="F151" i="1"/>
  <c r="F167" i="1"/>
  <c r="F178" i="1"/>
  <c r="E196" i="1"/>
  <c r="E204" i="1"/>
  <c r="E212" i="1"/>
  <c r="E220" i="1"/>
  <c r="E228" i="1"/>
  <c r="E236" i="1"/>
  <c r="E244" i="1"/>
  <c r="E252" i="1"/>
  <c r="E263" i="1"/>
  <c r="H273" i="1"/>
  <c r="E293" i="1"/>
  <c r="H305" i="1"/>
  <c r="E325" i="1"/>
  <c r="H337" i="1"/>
  <c r="H361" i="1"/>
  <c r="E385" i="1"/>
  <c r="E387" i="1"/>
  <c r="E389" i="1"/>
  <c r="E390" i="1"/>
  <c r="E391" i="1"/>
  <c r="H425" i="1"/>
  <c r="B7" i="5"/>
  <c r="C9" i="3"/>
  <c r="E10" i="5"/>
  <c r="F12" i="3"/>
  <c r="F11" i="5"/>
  <c r="G13" i="3"/>
  <c r="J13" i="3" s="1"/>
  <c r="A13" i="5"/>
  <c r="B15" i="3"/>
  <c r="D9" i="3"/>
  <c r="E21" i="3"/>
  <c r="D38" i="3"/>
  <c r="E47" i="3"/>
  <c r="B53" i="3"/>
  <c r="H53" i="3" s="1"/>
  <c r="G58" i="3"/>
  <c r="J58" i="3" s="1"/>
  <c r="D61" i="3"/>
  <c r="F74" i="3"/>
  <c r="C85" i="3"/>
  <c r="C101" i="3"/>
  <c r="C117" i="3"/>
  <c r="D134" i="3"/>
  <c r="E151" i="3"/>
  <c r="G156" i="3"/>
  <c r="J156" i="3" s="1"/>
  <c r="D161" i="3"/>
  <c r="D166" i="3"/>
  <c r="E247" i="3"/>
  <c r="E248" i="3"/>
  <c r="A7" i="5"/>
  <c r="B9" i="3"/>
  <c r="H9" i="3" s="1"/>
  <c r="A62" i="5"/>
  <c r="B64" i="3"/>
  <c r="B72" i="5"/>
  <c r="C74" i="3"/>
  <c r="F76" i="5"/>
  <c r="G78" i="3"/>
  <c r="J78" i="3" s="1"/>
  <c r="A85" i="5"/>
  <c r="B87" i="3"/>
  <c r="H87" i="3" s="1"/>
  <c r="A93" i="5"/>
  <c r="B95" i="3"/>
  <c r="H95" i="3" s="1"/>
  <c r="F131" i="5"/>
  <c r="G133" i="3"/>
  <c r="J133" i="3" s="1"/>
  <c r="B142" i="5"/>
  <c r="C144" i="3"/>
  <c r="F162" i="5"/>
  <c r="G164" i="3"/>
  <c r="J164" i="3" s="1"/>
  <c r="D28" i="3"/>
  <c r="B170" i="3"/>
  <c r="H170" i="3" s="1"/>
  <c r="E197" i="3"/>
  <c r="G19" i="1"/>
  <c r="J19" i="1" s="1"/>
  <c r="G27" i="1"/>
  <c r="J27" i="1" s="1"/>
  <c r="G35" i="1"/>
  <c r="J35" i="1" s="1"/>
  <c r="G43" i="1"/>
  <c r="J43" i="1" s="1"/>
  <c r="G51" i="1"/>
  <c r="J51" i="1" s="1"/>
  <c r="G66" i="1"/>
  <c r="J66" i="1" s="1"/>
  <c r="G74" i="1"/>
  <c r="J74" i="1" s="1"/>
  <c r="G82" i="1"/>
  <c r="J82" i="1" s="1"/>
  <c r="G89" i="1"/>
  <c r="J89" i="1" s="1"/>
  <c r="G97" i="1"/>
  <c r="J97" i="1" s="1"/>
  <c r="G105" i="1"/>
  <c r="J105" i="1" s="1"/>
  <c r="G113" i="1"/>
  <c r="J113" i="1" s="1"/>
  <c r="G129" i="1"/>
  <c r="J129" i="1" s="1"/>
  <c r="G137" i="1"/>
  <c r="J137" i="1" s="1"/>
  <c r="G145" i="1"/>
  <c r="J145" i="1" s="1"/>
  <c r="G160" i="1"/>
  <c r="J160" i="1" s="1"/>
  <c r="G168" i="1"/>
  <c r="J168" i="1" s="1"/>
  <c r="E197" i="1"/>
  <c r="E205" i="1"/>
  <c r="E213" i="1"/>
  <c r="E221" i="1"/>
  <c r="E229" i="1"/>
  <c r="E237" i="1"/>
  <c r="E245" i="1"/>
  <c r="E253" i="1"/>
  <c r="E264" i="1"/>
  <c r="E265" i="1"/>
  <c r="E267" i="1"/>
  <c r="E294" i="1"/>
  <c r="E295" i="1"/>
  <c r="E296" i="1"/>
  <c r="E297" i="1"/>
  <c r="E299" i="1"/>
  <c r="E326" i="1"/>
  <c r="E327" i="1"/>
  <c r="E328" i="1"/>
  <c r="E329" i="1"/>
  <c r="E331" i="1"/>
  <c r="E377" i="1"/>
  <c r="E379" i="1"/>
  <c r="E381" i="1"/>
  <c r="E382" i="1"/>
  <c r="E383" i="1"/>
  <c r="B6" i="5"/>
  <c r="C8" i="3"/>
  <c r="E9" i="5"/>
  <c r="F11" i="3"/>
  <c r="F10" i="5"/>
  <c r="G12" i="3"/>
  <c r="J12" i="3" s="1"/>
  <c r="A12" i="5"/>
  <c r="B14" i="3"/>
  <c r="B14" i="5"/>
  <c r="C16" i="3"/>
  <c r="E17" i="5"/>
  <c r="F19" i="3"/>
  <c r="F18" i="5"/>
  <c r="G20" i="3"/>
  <c r="J20" i="3" s="1"/>
  <c r="A20" i="5"/>
  <c r="B22" i="3"/>
  <c r="B22" i="5"/>
  <c r="C24" i="3"/>
  <c r="E25" i="5"/>
  <c r="F27" i="3"/>
  <c r="F26" i="5"/>
  <c r="G28" i="3"/>
  <c r="J28" i="3" s="1"/>
  <c r="A28" i="5"/>
  <c r="B30" i="3"/>
  <c r="B30" i="5"/>
  <c r="C32" i="3"/>
  <c r="E33" i="5"/>
  <c r="F35" i="3"/>
  <c r="F34" i="5"/>
  <c r="G36" i="3"/>
  <c r="J36" i="3" s="1"/>
  <c r="A36" i="5"/>
  <c r="B38" i="3"/>
  <c r="B38" i="5"/>
  <c r="C40" i="3"/>
  <c r="E41" i="5"/>
  <c r="F43" i="3"/>
  <c r="F42" i="5"/>
  <c r="G44" i="3"/>
  <c r="J44" i="3" s="1"/>
  <c r="A44" i="5"/>
  <c r="B46" i="3"/>
  <c r="B46" i="5"/>
  <c r="C48" i="3"/>
  <c r="C47" i="5"/>
  <c r="D49" i="3"/>
  <c r="D48" i="5"/>
  <c r="E50" i="3"/>
  <c r="E49" i="5"/>
  <c r="F51" i="3"/>
  <c r="F50" i="5"/>
  <c r="G52" i="3"/>
  <c r="J52" i="3" s="1"/>
  <c r="D55" i="5"/>
  <c r="E57" i="3"/>
  <c r="E56" i="5"/>
  <c r="F58" i="3"/>
  <c r="F57" i="5"/>
  <c r="G59" i="3"/>
  <c r="J59" i="3" s="1"/>
  <c r="A59" i="5"/>
  <c r="B61" i="3"/>
  <c r="B61" i="5"/>
  <c r="C63" i="3"/>
  <c r="H63" i="3" s="1"/>
  <c r="C62" i="5"/>
  <c r="D64" i="3"/>
  <c r="D63" i="5"/>
  <c r="E65" i="3"/>
  <c r="E64" i="5"/>
  <c r="F66" i="3"/>
  <c r="A67" i="5"/>
  <c r="B69" i="3"/>
  <c r="H69" i="3" s="1"/>
  <c r="C70" i="5"/>
  <c r="D72" i="3"/>
  <c r="D71" i="5"/>
  <c r="E73" i="3"/>
  <c r="F73" i="5"/>
  <c r="G75" i="3"/>
  <c r="J75" i="3" s="1"/>
  <c r="A75" i="5"/>
  <c r="B77" i="3"/>
  <c r="H77" i="3" s="1"/>
  <c r="C77" i="5"/>
  <c r="D79" i="3"/>
  <c r="D78" i="5"/>
  <c r="E80" i="3"/>
  <c r="F80" i="5"/>
  <c r="G82" i="3"/>
  <c r="J82" i="3" s="1"/>
  <c r="A82" i="5"/>
  <c r="B84" i="3"/>
  <c r="B84" i="5"/>
  <c r="C86" i="3"/>
  <c r="C85" i="5"/>
  <c r="D87" i="3"/>
  <c r="D86" i="5"/>
  <c r="E88" i="3"/>
  <c r="F88" i="5"/>
  <c r="G90" i="3"/>
  <c r="J90" i="3" s="1"/>
  <c r="A90" i="5"/>
  <c r="B92" i="3"/>
  <c r="B92" i="5"/>
  <c r="C94" i="3"/>
  <c r="D94" i="5"/>
  <c r="E96" i="3"/>
  <c r="F96" i="5"/>
  <c r="G98" i="3"/>
  <c r="J98" i="3" s="1"/>
  <c r="A98" i="5"/>
  <c r="B100" i="3"/>
  <c r="B100" i="5"/>
  <c r="C102" i="3"/>
  <c r="C101" i="5"/>
  <c r="D103" i="3"/>
  <c r="D102" i="5"/>
  <c r="E104" i="3"/>
  <c r="F104" i="5"/>
  <c r="G106" i="3"/>
  <c r="J106" i="3" s="1"/>
  <c r="A106" i="5"/>
  <c r="B108" i="3"/>
  <c r="B108" i="5"/>
  <c r="C110" i="3"/>
  <c r="C109" i="5"/>
  <c r="D111" i="3"/>
  <c r="D110" i="5"/>
  <c r="E112" i="3"/>
  <c r="E111" i="5"/>
  <c r="F113" i="3"/>
  <c r="F112" i="5"/>
  <c r="G114" i="3"/>
  <c r="J114" i="3" s="1"/>
  <c r="B116" i="5"/>
  <c r="C118" i="3"/>
  <c r="C117" i="5"/>
  <c r="D119" i="3"/>
  <c r="D118" i="5"/>
  <c r="E120" i="3"/>
  <c r="E119" i="5"/>
  <c r="F121" i="3"/>
  <c r="F120" i="5"/>
  <c r="G122" i="3"/>
  <c r="J122" i="3" s="1"/>
  <c r="B124" i="5"/>
  <c r="C126" i="3"/>
  <c r="C125" i="5"/>
  <c r="D127" i="3"/>
  <c r="D126" i="5"/>
  <c r="E128" i="3"/>
  <c r="E127" i="5"/>
  <c r="F129" i="3"/>
  <c r="F128" i="5"/>
  <c r="G130" i="3"/>
  <c r="J130" i="3" s="1"/>
  <c r="C134" i="3"/>
  <c r="B132" i="5"/>
  <c r="C133" i="5"/>
  <c r="D135" i="3"/>
  <c r="D134" i="5"/>
  <c r="E136" i="3"/>
  <c r="E135" i="5"/>
  <c r="F137" i="3"/>
  <c r="F136" i="5"/>
  <c r="G138" i="3"/>
  <c r="J138" i="3" s="1"/>
  <c r="B140" i="5"/>
  <c r="C142" i="3"/>
  <c r="C141" i="5"/>
  <c r="D143" i="3"/>
  <c r="A145" i="5"/>
  <c r="B147" i="3"/>
  <c r="A153" i="5"/>
  <c r="B155" i="3"/>
  <c r="H155" i="3" s="1"/>
  <c r="A161" i="5"/>
  <c r="B163" i="3"/>
  <c r="A167" i="5"/>
  <c r="B169" i="3"/>
  <c r="H169" i="3" s="1"/>
  <c r="E168" i="5"/>
  <c r="F170" i="3"/>
  <c r="A170" i="5"/>
  <c r="B172" i="3"/>
  <c r="H172" i="3" s="1"/>
  <c r="E171" i="5"/>
  <c r="F173" i="3"/>
  <c r="C173" i="5"/>
  <c r="D175" i="3"/>
  <c r="F174" i="5"/>
  <c r="G176" i="3"/>
  <c r="J176" i="3" s="1"/>
  <c r="E9" i="3"/>
  <c r="D12" i="3"/>
  <c r="D24" i="3"/>
  <c r="E26" i="3"/>
  <c r="E33" i="3"/>
  <c r="E45" i="3"/>
  <c r="F61" i="3"/>
  <c r="F65" i="3"/>
  <c r="F69" i="3"/>
  <c r="F80" i="3"/>
  <c r="C91" i="3"/>
  <c r="F96" i="3"/>
  <c r="C107" i="3"/>
  <c r="F112" i="3"/>
  <c r="B124" i="3"/>
  <c r="G129" i="3"/>
  <c r="J129" i="3" s="1"/>
  <c r="E135" i="3"/>
  <c r="C141" i="3"/>
  <c r="F147" i="3"/>
  <c r="C152" i="3"/>
  <c r="C157" i="3"/>
  <c r="G161" i="3"/>
  <c r="J161" i="3" s="1"/>
  <c r="E201" i="3"/>
  <c r="E221" i="3"/>
  <c r="E253" i="3"/>
  <c r="E304" i="3"/>
  <c r="C93" i="5"/>
  <c r="A39" i="5"/>
  <c r="B41" i="3"/>
  <c r="B41" i="5"/>
  <c r="C43" i="3"/>
  <c r="E44" i="5"/>
  <c r="F46" i="3"/>
  <c r="B49" i="5"/>
  <c r="C51" i="3"/>
  <c r="A54" i="5"/>
  <c r="B56" i="3"/>
  <c r="A70" i="5"/>
  <c r="B72" i="3"/>
  <c r="D81" i="5"/>
  <c r="E83" i="3"/>
  <c r="D89" i="5"/>
  <c r="E91" i="3"/>
  <c r="D97" i="5"/>
  <c r="E99" i="3"/>
  <c r="C112" i="5"/>
  <c r="D114" i="3"/>
  <c r="F115" i="5"/>
  <c r="G117" i="3"/>
  <c r="J117" i="3" s="1"/>
  <c r="C120" i="5"/>
  <c r="D122" i="3"/>
  <c r="D129" i="5"/>
  <c r="E131" i="3"/>
  <c r="F146" i="5"/>
  <c r="G148" i="3"/>
  <c r="J148" i="3" s="1"/>
  <c r="A148" i="5"/>
  <c r="B150" i="3"/>
  <c r="C151" i="5"/>
  <c r="D153" i="3"/>
  <c r="E153" i="5"/>
  <c r="F155" i="3"/>
  <c r="B158" i="5"/>
  <c r="C160" i="3"/>
  <c r="D160" i="5"/>
  <c r="E162" i="3"/>
  <c r="A164" i="5"/>
  <c r="B166" i="3"/>
  <c r="D166" i="5"/>
  <c r="E168" i="3"/>
  <c r="D169" i="5"/>
  <c r="E171" i="3"/>
  <c r="C174" i="5"/>
  <c r="D176" i="3"/>
  <c r="E17" i="1"/>
  <c r="E25" i="1"/>
  <c r="E33" i="1"/>
  <c r="E49" i="1"/>
  <c r="E127" i="1"/>
  <c r="E175" i="1"/>
  <c r="E219" i="1"/>
  <c r="F100" i="3"/>
  <c r="E386" i="5"/>
  <c r="F188" i="1"/>
  <c r="F189" i="1"/>
  <c r="E190" i="1"/>
  <c r="E198" i="1"/>
  <c r="E206" i="1"/>
  <c r="E214" i="1"/>
  <c r="E222" i="1"/>
  <c r="E230" i="1"/>
  <c r="E238" i="1"/>
  <c r="E246" i="1"/>
  <c r="E254" i="1"/>
  <c r="E269" i="1"/>
  <c r="H281" i="1"/>
  <c r="E301" i="1"/>
  <c r="H313" i="1"/>
  <c r="E333" i="1"/>
  <c r="H345" i="1"/>
  <c r="E369" i="1"/>
  <c r="E371" i="1"/>
  <c r="E373" i="1"/>
  <c r="E374" i="1"/>
  <c r="E375" i="1"/>
  <c r="H409" i="1"/>
  <c r="H433" i="1"/>
  <c r="B5" i="5"/>
  <c r="C7" i="3"/>
  <c r="E8" i="5"/>
  <c r="F10" i="3"/>
  <c r="F9" i="5"/>
  <c r="G11" i="3"/>
  <c r="J11" i="3" s="1"/>
  <c r="A11" i="5"/>
  <c r="B13" i="3"/>
  <c r="H13" i="3" s="1"/>
  <c r="B13" i="5"/>
  <c r="C15" i="3"/>
  <c r="E16" i="5"/>
  <c r="F18" i="3"/>
  <c r="F17" i="5"/>
  <c r="G19" i="3"/>
  <c r="J19" i="3" s="1"/>
  <c r="A19" i="5"/>
  <c r="B21" i="3"/>
  <c r="H21" i="3" s="1"/>
  <c r="B21" i="5"/>
  <c r="C23" i="3"/>
  <c r="E24" i="5"/>
  <c r="F26" i="3"/>
  <c r="F25" i="5"/>
  <c r="G27" i="3"/>
  <c r="J27" i="3" s="1"/>
  <c r="A27" i="5"/>
  <c r="B29" i="3"/>
  <c r="H29" i="3" s="1"/>
  <c r="B29" i="5"/>
  <c r="C31" i="3"/>
  <c r="E32" i="5"/>
  <c r="F34" i="3"/>
  <c r="F33" i="5"/>
  <c r="G35" i="3"/>
  <c r="J35" i="3" s="1"/>
  <c r="A35" i="5"/>
  <c r="B37" i="3"/>
  <c r="H37" i="3" s="1"/>
  <c r="B37" i="5"/>
  <c r="C39" i="3"/>
  <c r="E40" i="5"/>
  <c r="F42" i="3"/>
  <c r="F41" i="5"/>
  <c r="G43" i="3"/>
  <c r="J43" i="3" s="1"/>
  <c r="A43" i="5"/>
  <c r="B45" i="3"/>
  <c r="H45" i="3" s="1"/>
  <c r="B45" i="5"/>
  <c r="C47" i="3"/>
  <c r="D47" i="5"/>
  <c r="E49" i="3"/>
  <c r="E48" i="5"/>
  <c r="F50" i="3"/>
  <c r="F49" i="5"/>
  <c r="G51" i="3"/>
  <c r="J51" i="3" s="1"/>
  <c r="D54" i="5"/>
  <c r="E56" i="3"/>
  <c r="C61" i="5"/>
  <c r="D63" i="3"/>
  <c r="D62" i="5"/>
  <c r="E64" i="3"/>
  <c r="F64" i="5"/>
  <c r="G66" i="3"/>
  <c r="J66" i="3" s="1"/>
  <c r="A66" i="5"/>
  <c r="B68" i="3"/>
  <c r="H68" i="3" s="1"/>
  <c r="B68" i="5"/>
  <c r="C70" i="3"/>
  <c r="C69" i="5"/>
  <c r="D71" i="3"/>
  <c r="D70" i="5"/>
  <c r="E72" i="3"/>
  <c r="F72" i="5"/>
  <c r="G74" i="3"/>
  <c r="J74" i="3" s="1"/>
  <c r="A74" i="5"/>
  <c r="B76" i="3"/>
  <c r="H76" i="3" s="1"/>
  <c r="B76" i="5"/>
  <c r="C78" i="3"/>
  <c r="D77" i="5"/>
  <c r="E79" i="3"/>
  <c r="F79" i="5"/>
  <c r="G81" i="3"/>
  <c r="J81" i="3" s="1"/>
  <c r="A81" i="5"/>
  <c r="B83" i="3"/>
  <c r="H83" i="3" s="1"/>
  <c r="C84" i="5"/>
  <c r="D86" i="3"/>
  <c r="D85" i="5"/>
  <c r="E87" i="3"/>
  <c r="F87" i="5"/>
  <c r="G89" i="3"/>
  <c r="J89" i="3" s="1"/>
  <c r="A89" i="5"/>
  <c r="B91" i="3"/>
  <c r="H91" i="3" s="1"/>
  <c r="C92" i="5"/>
  <c r="D94" i="3"/>
  <c r="D93" i="5"/>
  <c r="E95" i="3"/>
  <c r="F95" i="5"/>
  <c r="G97" i="3"/>
  <c r="J97" i="3" s="1"/>
  <c r="A97" i="5"/>
  <c r="B99" i="3"/>
  <c r="H99" i="3" s="1"/>
  <c r="C100" i="5"/>
  <c r="D102" i="3"/>
  <c r="D101" i="5"/>
  <c r="E103" i="3"/>
  <c r="F103" i="5"/>
  <c r="G105" i="3"/>
  <c r="J105" i="3" s="1"/>
  <c r="A105" i="5"/>
  <c r="B107" i="3"/>
  <c r="C108" i="5"/>
  <c r="D110" i="3"/>
  <c r="D109" i="5"/>
  <c r="E111" i="3"/>
  <c r="A113" i="5"/>
  <c r="B115" i="3"/>
  <c r="A121" i="5"/>
  <c r="B123" i="3"/>
  <c r="A129" i="5"/>
  <c r="B131" i="3"/>
  <c r="A137" i="5"/>
  <c r="B139" i="3"/>
  <c r="F142" i="5"/>
  <c r="G144" i="3"/>
  <c r="J144" i="3" s="1"/>
  <c r="A144" i="5"/>
  <c r="B146" i="3"/>
  <c r="B146" i="5"/>
  <c r="C148" i="3"/>
  <c r="C147" i="5"/>
  <c r="D149" i="3"/>
  <c r="D148" i="5"/>
  <c r="E150" i="3"/>
  <c r="E149" i="5"/>
  <c r="F151" i="3"/>
  <c r="F150" i="5"/>
  <c r="G152" i="3"/>
  <c r="J152" i="3" s="1"/>
  <c r="A152" i="5"/>
  <c r="B154" i="3"/>
  <c r="B154" i="5"/>
  <c r="C156" i="3"/>
  <c r="H156" i="3" s="1"/>
  <c r="C155" i="5"/>
  <c r="D157" i="3"/>
  <c r="D156" i="5"/>
  <c r="E158" i="3"/>
  <c r="E157" i="5"/>
  <c r="F159" i="3"/>
  <c r="F158" i="5"/>
  <c r="G160" i="3"/>
  <c r="J160" i="3" s="1"/>
  <c r="A160" i="5"/>
  <c r="B162" i="3"/>
  <c r="B162" i="5"/>
  <c r="C164" i="3"/>
  <c r="H164" i="3" s="1"/>
  <c r="C163" i="5"/>
  <c r="D165" i="3"/>
  <c r="D164" i="5"/>
  <c r="E166" i="3"/>
  <c r="E165" i="5"/>
  <c r="F167" i="3"/>
  <c r="F168" i="5"/>
  <c r="G170" i="3"/>
  <c r="J170" i="3" s="1"/>
  <c r="F171" i="5"/>
  <c r="G173" i="3"/>
  <c r="J173" i="3" s="1"/>
  <c r="D17" i="3"/>
  <c r="D22" i="3"/>
  <c r="E31" i="3"/>
  <c r="D36" i="3"/>
  <c r="D48" i="3"/>
  <c r="D56" i="3"/>
  <c r="C62" i="3"/>
  <c r="B66" i="3"/>
  <c r="H66" i="3" s="1"/>
  <c r="C81" i="3"/>
  <c r="F86" i="3"/>
  <c r="C97" i="3"/>
  <c r="F102" i="3"/>
  <c r="D118" i="3"/>
  <c r="D142" i="3"/>
  <c r="H148" i="3"/>
  <c r="F152" i="3"/>
  <c r="E167" i="3"/>
  <c r="E274" i="3"/>
  <c r="D50" i="5"/>
  <c r="E52" i="3"/>
  <c r="D57" i="5"/>
  <c r="E59" i="3"/>
  <c r="C64" i="5"/>
  <c r="D66" i="3"/>
  <c r="D65" i="5"/>
  <c r="E67" i="3"/>
  <c r="A69" i="5"/>
  <c r="B71" i="3"/>
  <c r="H71" i="3" s="1"/>
  <c r="C72" i="5"/>
  <c r="D74" i="3"/>
  <c r="D73" i="5"/>
  <c r="E75" i="3"/>
  <c r="A77" i="5"/>
  <c r="B79" i="3"/>
  <c r="H79" i="3" s="1"/>
  <c r="C79" i="5"/>
  <c r="D81" i="3"/>
  <c r="D80" i="5"/>
  <c r="E82" i="3"/>
  <c r="A84" i="5"/>
  <c r="B86" i="3"/>
  <c r="H86" i="3" s="1"/>
  <c r="C87" i="5"/>
  <c r="D89" i="3"/>
  <c r="D88" i="5"/>
  <c r="E90" i="3"/>
  <c r="A92" i="5"/>
  <c r="B94" i="3"/>
  <c r="H94" i="3" s="1"/>
  <c r="C95" i="5"/>
  <c r="D97" i="3"/>
  <c r="D96" i="5"/>
  <c r="E98" i="3"/>
  <c r="A100" i="5"/>
  <c r="B102" i="3"/>
  <c r="H102" i="3" s="1"/>
  <c r="C103" i="5"/>
  <c r="D105" i="3"/>
  <c r="D104" i="5"/>
  <c r="E106" i="3"/>
  <c r="A108" i="5"/>
  <c r="B110" i="3"/>
  <c r="H110" i="3" s="1"/>
  <c r="A116" i="5"/>
  <c r="B118" i="3"/>
  <c r="H118" i="3" s="1"/>
  <c r="A124" i="5"/>
  <c r="B126" i="3"/>
  <c r="H126" i="3" s="1"/>
  <c r="A132" i="5"/>
  <c r="B134" i="3"/>
  <c r="A140" i="5"/>
  <c r="B142" i="3"/>
  <c r="H142" i="3" s="1"/>
  <c r="C142" i="5"/>
  <c r="D144" i="3"/>
  <c r="D143" i="5"/>
  <c r="E145" i="3"/>
  <c r="E144" i="5"/>
  <c r="F146" i="3"/>
  <c r="F145" i="5"/>
  <c r="G147" i="3"/>
  <c r="J147" i="3" s="1"/>
  <c r="A147" i="5"/>
  <c r="B149" i="3"/>
  <c r="H149" i="3" s="1"/>
  <c r="B149" i="5"/>
  <c r="C151" i="3"/>
  <c r="C150" i="5"/>
  <c r="D152" i="3"/>
  <c r="D151" i="5"/>
  <c r="E153" i="3"/>
  <c r="E152" i="5"/>
  <c r="F154" i="3"/>
  <c r="F153" i="5"/>
  <c r="G155" i="3"/>
  <c r="J155" i="3" s="1"/>
  <c r="A155" i="5"/>
  <c r="B157" i="3"/>
  <c r="H157" i="3" s="1"/>
  <c r="B157" i="5"/>
  <c r="C159" i="3"/>
  <c r="H159" i="3" s="1"/>
  <c r="C158" i="5"/>
  <c r="D160" i="3"/>
  <c r="D159" i="5"/>
  <c r="E161" i="3"/>
  <c r="E160" i="5"/>
  <c r="F162" i="3"/>
  <c r="F161" i="5"/>
  <c r="G163" i="3"/>
  <c r="J163" i="3" s="1"/>
  <c r="A163" i="5"/>
  <c r="B165" i="3"/>
  <c r="H165" i="3" s="1"/>
  <c r="B165" i="5"/>
  <c r="C167" i="3"/>
  <c r="C168" i="5"/>
  <c r="D170" i="3"/>
  <c r="F172" i="5"/>
  <c r="G174" i="3"/>
  <c r="J174" i="3" s="1"/>
  <c r="D174" i="5"/>
  <c r="E176" i="3"/>
  <c r="B8" i="3"/>
  <c r="H8" i="3" s="1"/>
  <c r="B10" i="3"/>
  <c r="B12" i="3"/>
  <c r="B16" i="3"/>
  <c r="H16" i="3" s="1"/>
  <c r="B18" i="3"/>
  <c r="B20" i="3"/>
  <c r="B23" i="3"/>
  <c r="H23" i="3" s="1"/>
  <c r="B24" i="3"/>
  <c r="H24" i="3" s="1"/>
  <c r="B26" i="3"/>
  <c r="B28" i="3"/>
  <c r="B31" i="3"/>
  <c r="H31" i="3" s="1"/>
  <c r="B32" i="3"/>
  <c r="H32" i="3" s="1"/>
  <c r="B34" i="3"/>
  <c r="B36" i="3"/>
  <c r="B39" i="3"/>
  <c r="H39" i="3" s="1"/>
  <c r="B40" i="3"/>
  <c r="H40" i="3" s="1"/>
  <c r="B42" i="3"/>
  <c r="B44" i="3"/>
  <c r="B47" i="3"/>
  <c r="H47" i="3" s="1"/>
  <c r="B48" i="3"/>
  <c r="H48" i="3" s="1"/>
  <c r="C49" i="3"/>
  <c r="D50" i="3"/>
  <c r="C57" i="3"/>
  <c r="H57" i="3" s="1"/>
  <c r="D58" i="3"/>
  <c r="F62" i="3"/>
  <c r="G65" i="3"/>
  <c r="J65" i="3" s="1"/>
  <c r="C67" i="3"/>
  <c r="H67" i="3" s="1"/>
  <c r="G76" i="3"/>
  <c r="J76" i="3" s="1"/>
  <c r="G80" i="3"/>
  <c r="J80" i="3" s="1"/>
  <c r="G84" i="3"/>
  <c r="J84" i="3" s="1"/>
  <c r="G86" i="3"/>
  <c r="J86" i="3" s="1"/>
  <c r="G88" i="3"/>
  <c r="J88" i="3" s="1"/>
  <c r="G92" i="3"/>
  <c r="J92" i="3" s="1"/>
  <c r="G94" i="3"/>
  <c r="J94" i="3" s="1"/>
  <c r="G96" i="3"/>
  <c r="J96" i="3" s="1"/>
  <c r="G100" i="3"/>
  <c r="J100" i="3" s="1"/>
  <c r="G102" i="3"/>
  <c r="J102" i="3" s="1"/>
  <c r="G104" i="3"/>
  <c r="J104" i="3" s="1"/>
  <c r="G108" i="3"/>
  <c r="J108" i="3" s="1"/>
  <c r="G110" i="3"/>
  <c r="J110" i="3" s="1"/>
  <c r="G112" i="3"/>
  <c r="J112" i="3" s="1"/>
  <c r="D117" i="3"/>
  <c r="F119" i="3"/>
  <c r="C124" i="3"/>
  <c r="E126" i="3"/>
  <c r="G128" i="3"/>
  <c r="J128" i="3" s="1"/>
  <c r="D133" i="3"/>
  <c r="F135" i="3"/>
  <c r="C140" i="3"/>
  <c r="H140" i="3" s="1"/>
  <c r="E142" i="3"/>
  <c r="G169" i="3"/>
  <c r="J169" i="3" s="1"/>
  <c r="F171" i="3"/>
  <c r="F175" i="3"/>
  <c r="A196" i="3"/>
  <c r="A204" i="3"/>
  <c r="H226" i="3"/>
  <c r="A244" i="3"/>
  <c r="A257" i="3"/>
  <c r="A307" i="3"/>
  <c r="D49" i="5"/>
  <c r="E51" i="3"/>
  <c r="D56" i="5"/>
  <c r="E58" i="3"/>
  <c r="C63" i="5"/>
  <c r="D65" i="3"/>
  <c r="D64" i="5"/>
  <c r="E66" i="3"/>
  <c r="A68" i="5"/>
  <c r="B70" i="3"/>
  <c r="H70" i="3" s="1"/>
  <c r="C71" i="5"/>
  <c r="D73" i="3"/>
  <c r="D72" i="5"/>
  <c r="E74" i="3"/>
  <c r="A76" i="5"/>
  <c r="B78" i="3"/>
  <c r="H78" i="3" s="1"/>
  <c r="C78" i="5"/>
  <c r="D80" i="3"/>
  <c r="D79" i="5"/>
  <c r="E81" i="3"/>
  <c r="A83" i="5"/>
  <c r="B85" i="3"/>
  <c r="C86" i="5"/>
  <c r="D88" i="3"/>
  <c r="D87" i="5"/>
  <c r="E89" i="3"/>
  <c r="A91" i="5"/>
  <c r="B93" i="3"/>
  <c r="H93" i="3" s="1"/>
  <c r="C94" i="5"/>
  <c r="D96" i="3"/>
  <c r="D95" i="5"/>
  <c r="E97" i="3"/>
  <c r="A99" i="5"/>
  <c r="B101" i="3"/>
  <c r="H101" i="3" s="1"/>
  <c r="C102" i="5"/>
  <c r="D104" i="3"/>
  <c r="D103" i="5"/>
  <c r="E105" i="3"/>
  <c r="A107" i="5"/>
  <c r="B109" i="3"/>
  <c r="H109" i="3" s="1"/>
  <c r="C110" i="5"/>
  <c r="D112" i="3"/>
  <c r="D111" i="5"/>
  <c r="E113" i="3"/>
  <c r="E112" i="5"/>
  <c r="F114" i="3"/>
  <c r="F113" i="5"/>
  <c r="G115" i="3"/>
  <c r="J115" i="3" s="1"/>
  <c r="A115" i="5"/>
  <c r="B117" i="3"/>
  <c r="H117" i="3" s="1"/>
  <c r="B117" i="5"/>
  <c r="C119" i="3"/>
  <c r="C118" i="5"/>
  <c r="D120" i="3"/>
  <c r="D119" i="5"/>
  <c r="E121" i="3"/>
  <c r="E120" i="5"/>
  <c r="F122" i="3"/>
  <c r="F121" i="5"/>
  <c r="G123" i="3"/>
  <c r="J123" i="3" s="1"/>
  <c r="A123" i="5"/>
  <c r="B125" i="3"/>
  <c r="H125" i="3" s="1"/>
  <c r="B125" i="5"/>
  <c r="C127" i="3"/>
  <c r="C126" i="5"/>
  <c r="D128" i="3"/>
  <c r="D127" i="5"/>
  <c r="E129" i="3"/>
  <c r="E128" i="5"/>
  <c r="F130" i="3"/>
  <c r="F129" i="5"/>
  <c r="G131" i="3"/>
  <c r="J131" i="3" s="1"/>
  <c r="A131" i="5"/>
  <c r="B133" i="3"/>
  <c r="H133" i="3" s="1"/>
  <c r="B133" i="5"/>
  <c r="C135" i="3"/>
  <c r="C134" i="5"/>
  <c r="D136" i="3"/>
  <c r="D135" i="5"/>
  <c r="E137" i="3"/>
  <c r="E136" i="5"/>
  <c r="F138" i="3"/>
  <c r="F137" i="5"/>
  <c r="G139" i="3"/>
  <c r="J139" i="3" s="1"/>
  <c r="A139" i="5"/>
  <c r="B141" i="3"/>
  <c r="H141" i="3" s="1"/>
  <c r="B141" i="5"/>
  <c r="C143" i="3"/>
  <c r="D142" i="5"/>
  <c r="E144" i="3"/>
  <c r="E143" i="5"/>
  <c r="F145" i="3"/>
  <c r="F144" i="5"/>
  <c r="G146" i="3"/>
  <c r="J146" i="3" s="1"/>
  <c r="B148" i="5"/>
  <c r="C150" i="3"/>
  <c r="D150" i="5"/>
  <c r="E152" i="3"/>
  <c r="E151" i="5"/>
  <c r="F153" i="3"/>
  <c r="F152" i="5"/>
  <c r="G154" i="3"/>
  <c r="J154" i="3" s="1"/>
  <c r="B156" i="5"/>
  <c r="C158" i="3"/>
  <c r="C157" i="5"/>
  <c r="D159" i="3"/>
  <c r="D158" i="5"/>
  <c r="E160" i="3"/>
  <c r="E159" i="5"/>
  <c r="F161" i="3"/>
  <c r="F160" i="5"/>
  <c r="G162" i="3"/>
  <c r="J162" i="3" s="1"/>
  <c r="B164" i="5"/>
  <c r="C166" i="3"/>
  <c r="C165" i="5"/>
  <c r="D167" i="3"/>
  <c r="F169" i="5"/>
  <c r="G171" i="3"/>
  <c r="J171" i="3" s="1"/>
  <c r="C10" i="3"/>
  <c r="C12" i="3"/>
  <c r="C14" i="3"/>
  <c r="C17" i="3"/>
  <c r="C18" i="3"/>
  <c r="C20" i="3"/>
  <c r="C22" i="3"/>
  <c r="C25" i="3"/>
  <c r="C26" i="3"/>
  <c r="C28" i="3"/>
  <c r="C30" i="3"/>
  <c r="C33" i="3"/>
  <c r="C34" i="3"/>
  <c r="C36" i="3"/>
  <c r="C38" i="3"/>
  <c r="C41" i="3"/>
  <c r="C42" i="3"/>
  <c r="C44" i="3"/>
  <c r="C46" i="3"/>
  <c r="B55" i="3"/>
  <c r="H55" i="3" s="1"/>
  <c r="C56" i="3"/>
  <c r="D57" i="3"/>
  <c r="C61" i="3"/>
  <c r="C64" i="3"/>
  <c r="F67" i="3"/>
  <c r="C115" i="3"/>
  <c r="E117" i="3"/>
  <c r="G119" i="3"/>
  <c r="J119" i="3" s="1"/>
  <c r="B122" i="3"/>
  <c r="D124" i="3"/>
  <c r="F126" i="3"/>
  <c r="C131" i="3"/>
  <c r="E133" i="3"/>
  <c r="G135" i="3"/>
  <c r="J135" i="3" s="1"/>
  <c r="B138" i="3"/>
  <c r="D140" i="3"/>
  <c r="F142" i="3"/>
  <c r="C147" i="3"/>
  <c r="E149" i="3"/>
  <c r="G151" i="3"/>
  <c r="J151" i="3" s="1"/>
  <c r="D156" i="3"/>
  <c r="F158" i="3"/>
  <c r="C163" i="3"/>
  <c r="E165" i="3"/>
  <c r="G167" i="3"/>
  <c r="J167" i="3" s="1"/>
  <c r="G175" i="3"/>
  <c r="J175" i="3" s="1"/>
  <c r="H184" i="3"/>
  <c r="H204" i="3"/>
  <c r="A215" i="3"/>
  <c r="A225" i="3"/>
  <c r="A281" i="3"/>
  <c r="A282" i="3"/>
  <c r="A283" i="3"/>
  <c r="A306" i="3"/>
  <c r="E29" i="5"/>
  <c r="D46" i="5"/>
  <c r="E48" i="3"/>
  <c r="D53" i="5"/>
  <c r="E55" i="3"/>
  <c r="C60" i="5"/>
  <c r="D62" i="3"/>
  <c r="D61" i="5"/>
  <c r="E63" i="3"/>
  <c r="C68" i="5"/>
  <c r="D70" i="3"/>
  <c r="D69" i="5"/>
  <c r="E71" i="3"/>
  <c r="A73" i="5"/>
  <c r="B75" i="3"/>
  <c r="H75" i="3" s="1"/>
  <c r="C76" i="5"/>
  <c r="D78" i="3"/>
  <c r="A80" i="5"/>
  <c r="B82" i="3"/>
  <c r="C83" i="5"/>
  <c r="D85" i="3"/>
  <c r="D84" i="5"/>
  <c r="E86" i="3"/>
  <c r="A88" i="5"/>
  <c r="B90" i="3"/>
  <c r="C91" i="5"/>
  <c r="D93" i="3"/>
  <c r="D92" i="5"/>
  <c r="E94" i="3"/>
  <c r="A96" i="5"/>
  <c r="B98" i="3"/>
  <c r="C99" i="5"/>
  <c r="D101" i="3"/>
  <c r="D100" i="5"/>
  <c r="E102" i="3"/>
  <c r="C107" i="5"/>
  <c r="D109" i="3"/>
  <c r="D108" i="5"/>
  <c r="E110" i="3"/>
  <c r="A143" i="5"/>
  <c r="B145" i="3"/>
  <c r="A151" i="5"/>
  <c r="B153" i="3"/>
  <c r="A159" i="5"/>
  <c r="B161" i="3"/>
  <c r="D167" i="5"/>
  <c r="E169" i="3"/>
  <c r="D170" i="5"/>
  <c r="E172" i="3"/>
  <c r="A172" i="5"/>
  <c r="B174" i="3"/>
  <c r="H174" i="3" s="1"/>
  <c r="F9" i="3"/>
  <c r="F13" i="3"/>
  <c r="F15" i="3"/>
  <c r="F17" i="3"/>
  <c r="F20" i="3"/>
  <c r="F21" i="3"/>
  <c r="F23" i="3"/>
  <c r="F25" i="3"/>
  <c r="F28" i="3"/>
  <c r="F29" i="3"/>
  <c r="F33" i="3"/>
  <c r="F36" i="3"/>
  <c r="F37" i="3"/>
  <c r="F39" i="3"/>
  <c r="F41" i="3"/>
  <c r="F44" i="3"/>
  <c r="F45" i="3"/>
  <c r="F47" i="3"/>
  <c r="G48" i="3"/>
  <c r="J48" i="3" s="1"/>
  <c r="B52" i="3"/>
  <c r="H52" i="3" s="1"/>
  <c r="B59" i="3"/>
  <c r="H59" i="3" s="1"/>
  <c r="D60" i="3"/>
  <c r="G61" i="3"/>
  <c r="J61" i="3" s="1"/>
  <c r="G69" i="3"/>
  <c r="J69" i="3" s="1"/>
  <c r="G71" i="3"/>
  <c r="J71" i="3" s="1"/>
  <c r="G73" i="3"/>
  <c r="J73" i="3" s="1"/>
  <c r="G77" i="3"/>
  <c r="J77" i="3" s="1"/>
  <c r="G83" i="3"/>
  <c r="J83" i="3" s="1"/>
  <c r="G91" i="3"/>
  <c r="J91" i="3" s="1"/>
  <c r="G99" i="3"/>
  <c r="J99" i="3" s="1"/>
  <c r="G107" i="3"/>
  <c r="J107" i="3" s="1"/>
  <c r="G111" i="3"/>
  <c r="J111" i="3" s="1"/>
  <c r="C116" i="3"/>
  <c r="H116" i="3" s="1"/>
  <c r="E118" i="3"/>
  <c r="G120" i="3"/>
  <c r="J120" i="3" s="1"/>
  <c r="D125" i="3"/>
  <c r="F127" i="3"/>
  <c r="C132" i="3"/>
  <c r="E134" i="3"/>
  <c r="G136" i="3"/>
  <c r="J136" i="3" s="1"/>
  <c r="D141" i="3"/>
  <c r="F143" i="3"/>
  <c r="G168" i="3"/>
  <c r="J168" i="3" s="1"/>
  <c r="E170" i="3"/>
  <c r="G172" i="3"/>
  <c r="J172" i="3" s="1"/>
  <c r="A182" i="3"/>
  <c r="A186" i="3"/>
  <c r="A188" i="3"/>
  <c r="A189" i="3"/>
  <c r="H224" i="3"/>
  <c r="A246" i="3"/>
  <c r="A261" i="3"/>
  <c r="B128" i="5"/>
  <c r="A111" i="5"/>
  <c r="B113" i="3"/>
  <c r="H113" i="3" s="1"/>
  <c r="A119" i="5"/>
  <c r="B121" i="3"/>
  <c r="H121" i="3" s="1"/>
  <c r="A127" i="5"/>
  <c r="B129" i="3"/>
  <c r="A135" i="5"/>
  <c r="B137" i="3"/>
  <c r="H137" i="3" s="1"/>
  <c r="B144" i="5"/>
  <c r="C146" i="3"/>
  <c r="C145" i="5"/>
  <c r="D147" i="3"/>
  <c r="D146" i="5"/>
  <c r="E148" i="3"/>
  <c r="E147" i="5"/>
  <c r="F149" i="3"/>
  <c r="F148" i="5"/>
  <c r="G150" i="3"/>
  <c r="J150" i="3" s="1"/>
  <c r="A150" i="5"/>
  <c r="B152" i="3"/>
  <c r="H152" i="3" s="1"/>
  <c r="B152" i="5"/>
  <c r="C154" i="3"/>
  <c r="C153" i="5"/>
  <c r="D155" i="3"/>
  <c r="D154" i="5"/>
  <c r="E156" i="3"/>
  <c r="E155" i="5"/>
  <c r="F157" i="3"/>
  <c r="F156" i="5"/>
  <c r="G158" i="3"/>
  <c r="J158" i="3" s="1"/>
  <c r="A158" i="5"/>
  <c r="B160" i="3"/>
  <c r="H160" i="3" s="1"/>
  <c r="C162" i="3"/>
  <c r="B160" i="5"/>
  <c r="C161" i="5"/>
  <c r="D163" i="3"/>
  <c r="D162" i="5"/>
  <c r="E164" i="3"/>
  <c r="E163" i="5"/>
  <c r="F165" i="3"/>
  <c r="F164" i="5"/>
  <c r="G166" i="3"/>
  <c r="J166" i="3" s="1"/>
  <c r="A166" i="5"/>
  <c r="B168" i="3"/>
  <c r="H168" i="3" s="1"/>
  <c r="E167" i="5"/>
  <c r="F169" i="3"/>
  <c r="E170" i="5"/>
  <c r="F172" i="3"/>
  <c r="D7" i="3"/>
  <c r="G10" i="3"/>
  <c r="J10" i="3" s="1"/>
  <c r="G21" i="3"/>
  <c r="J21" i="3" s="1"/>
  <c r="G29" i="3"/>
  <c r="J29" i="3" s="1"/>
  <c r="G37" i="3"/>
  <c r="J37" i="3" s="1"/>
  <c r="G45" i="3"/>
  <c r="J45" i="3" s="1"/>
  <c r="D116" i="3"/>
  <c r="F118" i="3"/>
  <c r="C123" i="3"/>
  <c r="E125" i="3"/>
  <c r="G127" i="3"/>
  <c r="J127" i="3" s="1"/>
  <c r="D132" i="3"/>
  <c r="F134" i="3"/>
  <c r="C139" i="3"/>
  <c r="E141" i="3"/>
  <c r="G143" i="3"/>
  <c r="J143" i="3" s="1"/>
  <c r="A187" i="5"/>
  <c r="A181" i="3"/>
  <c r="A190" i="5"/>
  <c r="A184" i="3"/>
  <c r="A196" i="5"/>
  <c r="A190" i="3"/>
  <c r="A197" i="5"/>
  <c r="A191" i="3"/>
  <c r="A198" i="5"/>
  <c r="A192" i="3"/>
  <c r="A199" i="5"/>
  <c r="A193" i="3"/>
  <c r="A200" i="5"/>
  <c r="A194" i="3"/>
  <c r="A201" i="5"/>
  <c r="A195" i="3"/>
  <c r="A204" i="5"/>
  <c r="A198" i="3"/>
  <c r="A205" i="5"/>
  <c r="A199" i="3"/>
  <c r="A206" i="5"/>
  <c r="A200" i="3"/>
  <c r="A207" i="5"/>
  <c r="A201" i="3"/>
  <c r="A208" i="5"/>
  <c r="A202" i="3"/>
  <c r="A209" i="5"/>
  <c r="A203" i="3"/>
  <c r="A214" i="5"/>
  <c r="A208" i="3"/>
  <c r="A218" i="5"/>
  <c r="A212" i="3"/>
  <c r="A219" i="5"/>
  <c r="A213" i="3"/>
  <c r="A220" i="5"/>
  <c r="A214" i="3"/>
  <c r="A222" i="5"/>
  <c r="A216" i="3"/>
  <c r="A223" i="5"/>
  <c r="A217" i="3"/>
  <c r="A224" i="5"/>
  <c r="A218" i="3"/>
  <c r="A226" i="5"/>
  <c r="A220" i="3"/>
  <c r="A227" i="5"/>
  <c r="A221" i="3"/>
  <c r="A228" i="5"/>
  <c r="A222" i="3"/>
  <c r="A230" i="5"/>
  <c r="A224" i="3"/>
  <c r="A237" i="5"/>
  <c r="A231" i="3"/>
  <c r="A238" i="5"/>
  <c r="A232" i="3"/>
  <c r="A239" i="5"/>
  <c r="A233" i="3"/>
  <c r="A240" i="5"/>
  <c r="A234" i="3"/>
  <c r="A241" i="5"/>
  <c r="A235" i="3"/>
  <c r="A242" i="5"/>
  <c r="A236" i="3"/>
  <c r="A243" i="5"/>
  <c r="A237" i="3"/>
  <c r="A244" i="5"/>
  <c r="A238" i="3"/>
  <c r="A245" i="5"/>
  <c r="A239" i="3"/>
  <c r="A246" i="5"/>
  <c r="A240" i="3"/>
  <c r="A247" i="5"/>
  <c r="A241" i="3"/>
  <c r="A248" i="5"/>
  <c r="A242" i="3"/>
  <c r="A249" i="5"/>
  <c r="A243" i="3"/>
  <c r="A253" i="5"/>
  <c r="A247" i="3"/>
  <c r="A254" i="5"/>
  <c r="A248" i="3"/>
  <c r="A255" i="5"/>
  <c r="A249" i="3"/>
  <c r="A256" i="5"/>
  <c r="A250" i="3"/>
  <c r="A257" i="5"/>
  <c r="A251" i="3"/>
  <c r="A258" i="5"/>
  <c r="A252" i="3"/>
  <c r="A259" i="5"/>
  <c r="A253" i="3"/>
  <c r="A254" i="3"/>
  <c r="A260" i="5"/>
  <c r="A261" i="5"/>
  <c r="A255" i="3"/>
  <c r="A262" i="5"/>
  <c r="A256" i="3"/>
  <c r="A268" i="5"/>
  <c r="A262" i="3"/>
  <c r="A269" i="5"/>
  <c r="A263" i="3"/>
  <c r="A270" i="5"/>
  <c r="A264" i="3"/>
  <c r="A271" i="5"/>
  <c r="A265" i="3"/>
  <c r="A272" i="5"/>
  <c r="A266" i="3"/>
  <c r="A273" i="5"/>
  <c r="A267" i="3"/>
  <c r="A274" i="5"/>
  <c r="A268" i="3"/>
  <c r="A276" i="5"/>
  <c r="A270" i="3"/>
  <c r="A277" i="5"/>
  <c r="A271" i="3"/>
  <c r="A278" i="5"/>
  <c r="A272" i="3"/>
  <c r="A279" i="5"/>
  <c r="A273" i="3"/>
  <c r="A280" i="5"/>
  <c r="A274" i="3"/>
  <c r="A281" i="5"/>
  <c r="A275" i="3"/>
  <c r="A282" i="5"/>
  <c r="A276" i="3"/>
  <c r="A283" i="5"/>
  <c r="A277" i="3"/>
  <c r="A284" i="5"/>
  <c r="A278" i="3"/>
  <c r="A285" i="5"/>
  <c r="A279" i="3"/>
  <c r="A286" i="5"/>
  <c r="A280" i="3"/>
  <c r="A290" i="5"/>
  <c r="A284" i="3"/>
  <c r="A291" i="5"/>
  <c r="A285" i="3"/>
  <c r="A292" i="5"/>
  <c r="A286" i="3"/>
  <c r="A293" i="5"/>
  <c r="A287" i="3"/>
  <c r="A294" i="5"/>
  <c r="A288" i="3"/>
  <c r="A295" i="5"/>
  <c r="A289" i="3"/>
  <c r="A296" i="5"/>
  <c r="A290" i="3"/>
  <c r="A297" i="5"/>
  <c r="A291" i="3"/>
  <c r="A299" i="5"/>
  <c r="A293" i="3"/>
  <c r="A300" i="5"/>
  <c r="A294" i="3"/>
  <c r="A301" i="5"/>
  <c r="A295" i="3"/>
  <c r="A302" i="5"/>
  <c r="A296" i="3"/>
  <c r="A303" i="5"/>
  <c r="A297" i="3"/>
  <c r="A304" i="5"/>
  <c r="A298" i="3"/>
  <c r="A305" i="5"/>
  <c r="A299" i="3"/>
  <c r="A306" i="5"/>
  <c r="A300" i="3"/>
  <c r="A308" i="5"/>
  <c r="A302" i="3"/>
  <c r="A309" i="5"/>
  <c r="A303" i="3"/>
  <c r="A310" i="5"/>
  <c r="A304" i="3"/>
  <c r="A314" i="5"/>
  <c r="A308" i="3"/>
  <c r="A315" i="5"/>
  <c r="A309" i="3"/>
  <c r="A316" i="5"/>
  <c r="A310" i="3"/>
  <c r="A317" i="5"/>
  <c r="A311" i="3"/>
  <c r="A318" i="5"/>
  <c r="A312" i="3"/>
  <c r="A323" i="5"/>
  <c r="A317" i="3"/>
  <c r="A324" i="5"/>
  <c r="A318" i="3"/>
  <c r="A325" i="5"/>
  <c r="A319" i="3"/>
  <c r="A326" i="5"/>
  <c r="A320" i="3"/>
  <c r="A327" i="5"/>
  <c r="A321" i="3"/>
  <c r="A328" i="5"/>
  <c r="A322" i="3"/>
  <c r="A329" i="5"/>
  <c r="A323" i="3"/>
  <c r="A332" i="5"/>
  <c r="A326" i="3"/>
  <c r="A333" i="5"/>
  <c r="A327" i="3"/>
  <c r="A328" i="3"/>
  <c r="A334" i="5"/>
  <c r="A335" i="5"/>
  <c r="A329" i="3"/>
  <c r="A336" i="5"/>
  <c r="A330" i="3"/>
  <c r="A337" i="5"/>
  <c r="A331" i="3"/>
  <c r="A338" i="5"/>
  <c r="A332" i="3"/>
  <c r="A340" i="5"/>
  <c r="A334" i="3"/>
  <c r="A341" i="5"/>
  <c r="A335" i="3"/>
  <c r="A342" i="5"/>
  <c r="A336" i="3"/>
  <c r="A343" i="5"/>
  <c r="A337" i="3"/>
  <c r="A344" i="5"/>
  <c r="A338" i="3"/>
  <c r="A345" i="5"/>
  <c r="A339" i="3"/>
  <c r="A346" i="5"/>
  <c r="A340" i="3"/>
  <c r="A347" i="5"/>
  <c r="A341" i="3"/>
  <c r="A348" i="5"/>
  <c r="A342" i="3"/>
  <c r="C149" i="5"/>
  <c r="D52" i="5"/>
  <c r="E54" i="3"/>
  <c r="D59" i="5"/>
  <c r="E61" i="3"/>
  <c r="C66" i="5"/>
  <c r="D68" i="3"/>
  <c r="D67" i="5"/>
  <c r="E69" i="3"/>
  <c r="A71" i="5"/>
  <c r="B73" i="3"/>
  <c r="H73" i="3" s="1"/>
  <c r="C74" i="5"/>
  <c r="D76" i="3"/>
  <c r="D75" i="5"/>
  <c r="E77" i="3"/>
  <c r="A78" i="5"/>
  <c r="B80" i="3"/>
  <c r="C81" i="5"/>
  <c r="D83" i="3"/>
  <c r="D82" i="5"/>
  <c r="E84" i="3"/>
  <c r="A86" i="5"/>
  <c r="B88" i="3"/>
  <c r="C89" i="5"/>
  <c r="D91" i="3"/>
  <c r="D90" i="5"/>
  <c r="E92" i="3"/>
  <c r="A94" i="5"/>
  <c r="B96" i="3"/>
  <c r="C97" i="5"/>
  <c r="D99" i="3"/>
  <c r="D98" i="5"/>
  <c r="E100" i="3"/>
  <c r="A102" i="5"/>
  <c r="B104" i="3"/>
  <c r="C105" i="5"/>
  <c r="D107" i="3"/>
  <c r="D106" i="5"/>
  <c r="E108" i="3"/>
  <c r="A110" i="5"/>
  <c r="B112" i="3"/>
  <c r="B112" i="5"/>
  <c r="C114" i="3"/>
  <c r="H114" i="3" s="1"/>
  <c r="C113" i="5"/>
  <c r="D115" i="3"/>
  <c r="D114" i="5"/>
  <c r="E116" i="3"/>
  <c r="E115" i="5"/>
  <c r="F117" i="3"/>
  <c r="F116" i="5"/>
  <c r="G118" i="3"/>
  <c r="J118" i="3" s="1"/>
  <c r="A118" i="5"/>
  <c r="B120" i="3"/>
  <c r="H120" i="3" s="1"/>
  <c r="B120" i="5"/>
  <c r="C122" i="3"/>
  <c r="C121" i="5"/>
  <c r="D123" i="3"/>
  <c r="D122" i="5"/>
  <c r="E124" i="3"/>
  <c r="E123" i="5"/>
  <c r="F125" i="3"/>
  <c r="F124" i="5"/>
  <c r="G126" i="3"/>
  <c r="J126" i="3" s="1"/>
  <c r="A126" i="5"/>
  <c r="B128" i="3"/>
  <c r="C129" i="5"/>
  <c r="D131" i="3"/>
  <c r="D130" i="5"/>
  <c r="E132" i="3"/>
  <c r="E131" i="5"/>
  <c r="F133" i="3"/>
  <c r="F132" i="5"/>
  <c r="G134" i="3"/>
  <c r="J134" i="3" s="1"/>
  <c r="A134" i="5"/>
  <c r="B136" i="3"/>
  <c r="H136" i="3" s="1"/>
  <c r="B136" i="5"/>
  <c r="C138" i="3"/>
  <c r="C137" i="5"/>
  <c r="D139" i="3"/>
  <c r="D138" i="5"/>
  <c r="E140" i="3"/>
  <c r="E139" i="5"/>
  <c r="F141" i="3"/>
  <c r="F140" i="5"/>
  <c r="G142" i="3"/>
  <c r="J142" i="3" s="1"/>
  <c r="A142" i="5"/>
  <c r="B144" i="3"/>
  <c r="H144" i="3" s="1"/>
  <c r="B143" i="5"/>
  <c r="C145" i="3"/>
  <c r="C144" i="5"/>
  <c r="D146" i="3"/>
  <c r="D145" i="5"/>
  <c r="E147" i="3"/>
  <c r="E146" i="5"/>
  <c r="F148" i="3"/>
  <c r="F147" i="5"/>
  <c r="G149" i="3"/>
  <c r="J149" i="3" s="1"/>
  <c r="B151" i="5"/>
  <c r="C153" i="3"/>
  <c r="C152" i="5"/>
  <c r="D154" i="3"/>
  <c r="D153" i="5"/>
  <c r="E155" i="3"/>
  <c r="E154" i="5"/>
  <c r="F156" i="3"/>
  <c r="F155" i="5"/>
  <c r="G157" i="3"/>
  <c r="J157" i="3" s="1"/>
  <c r="B159" i="5"/>
  <c r="C161" i="3"/>
  <c r="C160" i="5"/>
  <c r="D162" i="3"/>
  <c r="D161" i="5"/>
  <c r="E163" i="3"/>
  <c r="E162" i="5"/>
  <c r="F164" i="3"/>
  <c r="F163" i="5"/>
  <c r="G165" i="3"/>
  <c r="J165" i="3" s="1"/>
  <c r="C166" i="5"/>
  <c r="D168" i="3"/>
  <c r="C169" i="5"/>
  <c r="D171" i="3"/>
  <c r="A174" i="5"/>
  <c r="B176" i="3"/>
  <c r="H176" i="3" s="1"/>
  <c r="B50" i="3"/>
  <c r="H50" i="3" s="1"/>
  <c r="F53" i="3"/>
  <c r="G54" i="3"/>
  <c r="J54" i="3" s="1"/>
  <c r="G60" i="3"/>
  <c r="J60" i="3" s="1"/>
  <c r="B62" i="3"/>
  <c r="G63" i="3"/>
  <c r="J63" i="3" s="1"/>
  <c r="C65" i="3"/>
  <c r="H65" i="3" s="1"/>
  <c r="F68" i="3"/>
  <c r="C72" i="3"/>
  <c r="C80" i="3"/>
  <c r="C82" i="3"/>
  <c r="C84" i="3"/>
  <c r="C88" i="3"/>
  <c r="C90" i="3"/>
  <c r="C92" i="3"/>
  <c r="C96" i="3"/>
  <c r="C98" i="3"/>
  <c r="C100" i="3"/>
  <c r="C104" i="3"/>
  <c r="C106" i="3"/>
  <c r="H106" i="3" s="1"/>
  <c r="C108" i="3"/>
  <c r="C112" i="3"/>
  <c r="E114" i="3"/>
  <c r="G116" i="3"/>
  <c r="J116" i="3" s="1"/>
  <c r="D121" i="3"/>
  <c r="F123" i="3"/>
  <c r="C128" i="3"/>
  <c r="E130" i="3"/>
  <c r="G132" i="3"/>
  <c r="J132" i="3" s="1"/>
  <c r="D137" i="3"/>
  <c r="F139" i="3"/>
  <c r="B151" i="3"/>
  <c r="H151" i="3" s="1"/>
  <c r="B167" i="3"/>
  <c r="H167" i="3" s="1"/>
  <c r="B171" i="3"/>
  <c r="H171" i="3" s="1"/>
  <c r="D173" i="3"/>
  <c r="J472" i="3"/>
  <c r="A185" i="3"/>
  <c r="A197" i="3"/>
  <c r="A205" i="3"/>
  <c r="A207" i="3"/>
  <c r="A211" i="3"/>
  <c r="A227" i="3"/>
  <c r="A245" i="3"/>
  <c r="A259" i="3"/>
  <c r="H464" i="3"/>
  <c r="H433" i="3"/>
  <c r="H201" i="3"/>
  <c r="H425" i="3"/>
  <c r="H426" i="3"/>
  <c r="H432" i="3"/>
  <c r="H458" i="3"/>
  <c r="B189" i="5"/>
  <c r="B183" i="3"/>
  <c r="H183" i="3" s="1"/>
  <c r="B197" i="5"/>
  <c r="B191" i="3"/>
  <c r="H191" i="3" s="1"/>
  <c r="B205" i="5"/>
  <c r="B199" i="3"/>
  <c r="H199" i="3" s="1"/>
  <c r="B213" i="5"/>
  <c r="B207" i="3"/>
  <c r="H207" i="3" s="1"/>
  <c r="B221" i="5"/>
  <c r="B215" i="3"/>
  <c r="H215" i="3" s="1"/>
  <c r="H193" i="3"/>
  <c r="H241" i="3"/>
  <c r="H256" i="3"/>
  <c r="H267" i="3"/>
  <c r="H276" i="3"/>
  <c r="H416" i="3"/>
  <c r="H441" i="3"/>
  <c r="H409" i="3"/>
  <c r="H440" i="3"/>
  <c r="H465" i="3"/>
  <c r="H264" i="3"/>
  <c r="H272" i="3"/>
  <c r="H280" i="3"/>
  <c r="H288" i="3"/>
  <c r="H296" i="3"/>
  <c r="H304" i="3"/>
  <c r="H312" i="3"/>
  <c r="H320" i="3"/>
  <c r="H328" i="3"/>
  <c r="H336" i="3"/>
  <c r="H344" i="3"/>
  <c r="A350" i="3"/>
  <c r="H352" i="3"/>
  <c r="A358" i="3"/>
  <c r="H360" i="3"/>
  <c r="A366" i="3"/>
  <c r="H368" i="3"/>
  <c r="A374" i="3"/>
  <c r="H376" i="3"/>
  <c r="A382" i="3"/>
  <c r="H384" i="3"/>
  <c r="H392" i="3"/>
  <c r="H400" i="3"/>
  <c r="H448" i="3"/>
  <c r="A349" i="5"/>
  <c r="A343" i="3"/>
  <c r="A350" i="5"/>
  <c r="A344" i="3"/>
  <c r="A357" i="5"/>
  <c r="A351" i="3"/>
  <c r="A358" i="5"/>
  <c r="A352" i="3"/>
  <c r="A365" i="5"/>
  <c r="A359" i="3"/>
  <c r="A366" i="5"/>
  <c r="A360" i="3"/>
  <c r="A373" i="5"/>
  <c r="A367" i="3"/>
  <c r="A374" i="5"/>
  <c r="A368" i="3"/>
  <c r="A381" i="5"/>
  <c r="A375" i="3"/>
  <c r="A382" i="5"/>
  <c r="A376" i="3"/>
  <c r="A389" i="5"/>
  <c r="A383" i="3"/>
  <c r="A390" i="5"/>
  <c r="A384" i="3"/>
  <c r="A397" i="5"/>
  <c r="A391" i="3"/>
  <c r="A398" i="5"/>
  <c r="A392" i="3"/>
  <c r="A405" i="5"/>
  <c r="A399" i="3"/>
  <c r="A406" i="5"/>
  <c r="A400" i="3"/>
  <c r="A411" i="5"/>
  <c r="A405" i="3"/>
  <c r="A413" i="5"/>
  <c r="A407" i="3"/>
  <c r="A414" i="5"/>
  <c r="A408" i="3"/>
  <c r="B421" i="5"/>
  <c r="B415" i="3"/>
  <c r="H415" i="3" s="1"/>
  <c r="H457" i="3"/>
  <c r="E417" i="5"/>
  <c r="E411" i="3"/>
  <c r="H311" i="3" l="1"/>
  <c r="H134" i="3"/>
  <c r="H127" i="3"/>
  <c r="H252" i="3"/>
  <c r="H246" i="3"/>
  <c r="H237" i="3"/>
  <c r="J455" i="1"/>
  <c r="J456" i="1" s="1"/>
  <c r="J457" i="1" s="1"/>
  <c r="I8" i="1" s="1"/>
  <c r="J7" i="1" s="1"/>
  <c r="H289" i="3"/>
  <c r="H258" i="3"/>
  <c r="H251" i="3"/>
  <c r="H244" i="3"/>
  <c r="H225" i="3"/>
  <c r="H62" i="3"/>
  <c r="J177" i="3"/>
  <c r="J473" i="3" s="1"/>
  <c r="H85" i="3"/>
  <c r="H72" i="3"/>
  <c r="H124" i="3"/>
  <c r="H231" i="3"/>
  <c r="H107" i="3"/>
  <c r="H143" i="3"/>
  <c r="H209" i="3"/>
  <c r="H294" i="3"/>
  <c r="H249" i="3"/>
  <c r="H202" i="3"/>
  <c r="H206" i="3"/>
  <c r="H223" i="3"/>
  <c r="H212" i="3"/>
  <c r="H194" i="3"/>
  <c r="H203" i="3"/>
  <c r="H265" i="3"/>
  <c r="H253" i="3"/>
  <c r="H248" i="3"/>
  <c r="H238" i="3"/>
  <c r="H88" i="3"/>
  <c r="H145" i="3"/>
  <c r="H90" i="3"/>
  <c r="H162" i="3"/>
  <c r="H146" i="3"/>
  <c r="H123" i="3"/>
  <c r="H147" i="3"/>
  <c r="H100" i="3"/>
  <c r="H92" i="3"/>
  <c r="H132" i="3"/>
  <c r="H49" i="3"/>
  <c r="H135" i="3"/>
  <c r="H96" i="3"/>
  <c r="H98" i="3"/>
  <c r="H122" i="3"/>
  <c r="H36" i="3"/>
  <c r="H20" i="3"/>
  <c r="H115" i="3"/>
  <c r="H84" i="3"/>
  <c r="H15" i="3"/>
  <c r="H43" i="3"/>
  <c r="H35" i="3"/>
  <c r="H27" i="3"/>
  <c r="H19" i="3"/>
  <c r="H11" i="3"/>
  <c r="H129" i="3"/>
  <c r="H34" i="3"/>
  <c r="H18" i="3"/>
  <c r="H56" i="3"/>
  <c r="H41" i="3"/>
  <c r="H64" i="3"/>
  <c r="H119" i="3"/>
  <c r="H33" i="3"/>
  <c r="H104" i="3"/>
  <c r="H161" i="3"/>
  <c r="H138" i="3"/>
  <c r="H154" i="3"/>
  <c r="H139" i="3"/>
  <c r="H163" i="3"/>
  <c r="H61" i="3"/>
  <c r="H97" i="3"/>
  <c r="H89" i="3"/>
  <c r="H81" i="3"/>
  <c r="H58" i="3"/>
  <c r="H12" i="3"/>
  <c r="H166" i="3"/>
  <c r="H128" i="3"/>
  <c r="H112" i="3"/>
  <c r="H80" i="3"/>
  <c r="H153" i="3"/>
  <c r="H82" i="3"/>
  <c r="H44" i="3"/>
  <c r="H28" i="3"/>
  <c r="H10" i="3"/>
  <c r="H131" i="3"/>
  <c r="H108" i="3"/>
  <c r="H46" i="3"/>
  <c r="H38" i="3"/>
  <c r="H30" i="3"/>
  <c r="H22" i="3"/>
  <c r="H14" i="3"/>
  <c r="H60" i="3"/>
  <c r="H74" i="3"/>
  <c r="H51" i="3"/>
  <c r="H158" i="3"/>
  <c r="H42" i="3"/>
  <c r="H26" i="3"/>
  <c r="H150" i="3"/>
  <c r="H17" i="3"/>
  <c r="H25" i="3"/>
  <c r="J8" i="1" l="1"/>
  <c r="J9" i="1"/>
</calcChain>
</file>

<file path=xl/sharedStrings.xml><?xml version="1.0" encoding="utf-8"?>
<sst xmlns="http://schemas.openxmlformats.org/spreadsheetml/2006/main" count="54" uniqueCount="31">
  <si>
    <t>Tree Authority LLC</t>
  </si>
  <si>
    <t>Tree Authority Nursery Availability 11.10.2025</t>
  </si>
  <si>
    <t>Hasan Malik (c) 215 694 9607                                                               602 Minsi Trail Perkasie, PA 18944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</si>
  <si>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</si>
  <si>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</si>
  <si>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t>Name</t>
  </si>
  <si>
    <t>Date</t>
  </si>
  <si>
    <t>Address</t>
  </si>
  <si>
    <t>Phone</t>
  </si>
  <si>
    <t>Email</t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</si>
  <si>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</si>
  <si>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>Delivery only: Enter number of miles from our location - Delivery cost is $5/mile from our location to yours (one way with a $25 minimum fee)</t>
  </si>
  <si>
    <t>For planting only: place a 1 in the next column ($150 minimum and delivery is included)</t>
  </si>
  <si>
    <t>Tree total from bottom with tax added (must send exempt form to remove tax)</t>
  </si>
  <si>
    <t>Grand total</t>
  </si>
  <si>
    <t>Fruit Trees</t>
  </si>
  <si>
    <t>Scroll down to Native/Landscape Trees</t>
  </si>
  <si>
    <t>Price</t>
  </si>
  <si>
    <t>Order</t>
  </si>
  <si>
    <t>Total</t>
  </si>
  <si>
    <t>Native and Landscape Trees:</t>
  </si>
  <si>
    <t>Fruit Tree Total</t>
  </si>
  <si>
    <t>Landscape Tree Total</t>
  </si>
  <si>
    <t>Grand Total (plus tax)</t>
  </si>
  <si>
    <t>Tree Authority Nursery Availability 11.2.2025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</si>
  <si>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</si>
  <si>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</si>
  <si>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</si>
  <si>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 xml:space="preserve">Fruit Tree Total </t>
  </si>
  <si>
    <t>Hasan Malik (215) 694 9607</t>
  </si>
  <si>
    <t>602 Minsi Trail Perkasie, PA 18944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</si>
</sst>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34" x14ac:knownFonts="1">
    <font>
      <sz val="10"/>
      <color rgb="FF000000"/>
      <name val="Arial"/>
      <scheme val="minor"/>
    </font>
    <font>
      <sz val="26"/>
      <color rgb="FF000000"/>
      <name val="Lobster"/>
    </font>
    <font>
      <b/>
      <sz val="14"/>
      <color rgb="FF000000"/>
      <name val="Century Gothic"/>
    </font>
    <font>
      <sz val="24"/>
      <color theme="1"/>
      <name val="Calibri"/>
    </font>
    <font>
      <sz val="18"/>
      <color rgb="FF000000"/>
      <name val="Century Gothic"/>
    </font>
    <font>
      <sz val="11"/>
      <color theme="1"/>
      <name val="Calibri"/>
    </font>
    <font>
      <b/>
      <sz val="22"/>
      <color rgb="FF000000"/>
      <name val="Calibri"/>
    </font>
    <font>
      <sz val="18"/>
      <color theme="1"/>
      <name val="Calibri"/>
    </font>
    <font>
      <sz val="10"/>
      <color theme="1"/>
      <name val="Arial"/>
    </font>
    <font>
      <b/>
      <sz val="14"/>
      <color rgb="FFFFFFFF"/>
      <name val="Calibri"/>
    </font>
    <font>
      <b/>
      <sz val="13"/>
      <color rgb="FFFFFFFF"/>
      <name val="Calibri"/>
    </font>
    <font>
      <b/>
      <sz val="14"/>
      <color rgb="FF000000"/>
      <name val="Calibri"/>
    </font>
    <font>
      <sz val="10"/>
      <color theme="1"/>
      <name val="Arial"/>
      <scheme val="minor"/>
    </font>
    <font>
      <u/>
      <sz val="11"/>
      <color theme="1"/>
      <name val="Calibri"/>
    </font>
    <font>
      <b/>
      <sz val="14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24"/>
      <color rgb="FF000000"/>
      <name val="Arial"/>
    </font>
    <font>
      <sz val="14"/>
      <color rgb="FF000000"/>
      <name val="Arial"/>
    </font>
    <font>
      <b/>
      <sz val="12"/>
      <color rgb="FF000000"/>
      <name val="Calibri"/>
    </font>
    <font>
      <b/>
      <sz val="36"/>
      <color rgb="FF000000"/>
      <name val="Arial"/>
    </font>
    <font>
      <sz val="18"/>
      <color rgb="FF000000"/>
      <name val="Lobster"/>
    </font>
    <font>
      <sz val="24"/>
      <color rgb="FF000000"/>
      <name val="Arial"/>
    </font>
    <font>
      <b/>
      <sz val="10"/>
      <color theme="1"/>
      <name val="Arial"/>
      <scheme val="minor"/>
    </font>
    <font>
      <sz val="11"/>
      <color theme="1"/>
      <name val="Inconsolata"/>
    </font>
    <font>
      <sz val="12"/>
      <color theme="1"/>
      <name val="Arial"/>
    </font>
    <font>
      <sz val="12"/>
      <color rgb="FF000000"/>
      <name val="Arial"/>
    </font>
    <font>
      <sz val="11"/>
      <color rgb="FF000000"/>
      <name val="Arial"/>
    </font>
    <font>
      <b/>
      <sz val="24"/>
      <color rgb="FF000000"/>
      <name val="Calibri"/>
    </font>
    <font>
      <sz val="12"/>
      <color theme="1"/>
      <name val="Calibri"/>
    </font>
    <font>
      <b/>
      <sz val="16"/>
      <color rgb="FFFFFFFF"/>
      <name val="Calibri"/>
    </font>
    <font>
      <u/>
      <sz val="14"/>
      <color rgb="FFFFFFFF"/>
      <name val="Calibri"/>
    </font>
    <font>
      <sz val="14"/>
      <color rgb="FFFFFFFF"/>
      <name val="Calibri"/>
    </font>
    <font>
      <sz val="16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B6D7A8"/>
        <bgColor rgb="FFB6D7A8"/>
      </patternFill>
    </fill>
    <fill>
      <patternFill patternType="solid">
        <fgColor rgb="FFED7D31"/>
        <bgColor rgb="FFED7D31"/>
      </patternFill>
    </fill>
    <fill>
      <patternFill patternType="solid">
        <fgColor rgb="FF38761D"/>
        <bgColor rgb="FF38761D"/>
      </patternFill>
    </fill>
    <fill>
      <patternFill patternType="solid">
        <fgColor rgb="FFFFF7CC"/>
        <bgColor rgb="FFFFF7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D5C6A1"/>
      </top>
      <bottom style="thin">
        <color rgb="FFD5C6A1"/>
      </bottom>
      <diagonal/>
    </border>
    <border>
      <left/>
      <right style="thin">
        <color rgb="FFD5C6A1"/>
      </right>
      <top style="thin">
        <color rgb="FFD5C6A1"/>
      </top>
      <bottom style="thin">
        <color rgb="FFD5C6A1"/>
      </bottom>
      <diagonal/>
    </border>
    <border>
      <left style="thin">
        <color rgb="FFD5C6A1"/>
      </left>
      <right style="thin">
        <color rgb="FFD5C6A1"/>
      </right>
      <top style="thin">
        <color rgb="FFD5C6A1"/>
      </top>
      <bottom style="thin">
        <color rgb="FFD5C6A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3" fillId="3" borderId="0" xfId="0" applyNumberFormat="1" applyFont="1" applyFill="1"/>
    <xf numFmtId="164" fontId="5" fillId="5" borderId="0" xfId="0" applyNumberFormat="1" applyFont="1" applyFill="1"/>
    <xf numFmtId="164" fontId="5" fillId="4" borderId="0" xfId="0" applyNumberFormat="1" applyFont="1" applyFill="1"/>
    <xf numFmtId="165" fontId="5" fillId="4" borderId="0" xfId="0" applyNumberFormat="1" applyFont="1" applyFill="1"/>
    <xf numFmtId="165" fontId="5" fillId="5" borderId="0" xfId="0" applyNumberFormat="1" applyFont="1" applyFill="1"/>
    <xf numFmtId="0" fontId="7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9" fillId="6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164" fontId="5" fillId="2" borderId="0" xfId="0" applyNumberFormat="1" applyFont="1" applyFill="1"/>
    <xf numFmtId="164" fontId="5" fillId="0" borderId="0" xfId="0" applyNumberFormat="1" applyFont="1"/>
    <xf numFmtId="165" fontId="5" fillId="2" borderId="0" xfId="0" applyNumberFormat="1" applyFont="1" applyFill="1"/>
    <xf numFmtId="0" fontId="11" fillId="7" borderId="1" xfId="0" applyFont="1" applyFill="1" applyBorder="1"/>
    <xf numFmtId="0" fontId="5" fillId="7" borderId="1" xfId="0" applyFont="1" applyFill="1" applyBorder="1"/>
    <xf numFmtId="0" fontId="12" fillId="7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0" fontId="5" fillId="7" borderId="3" xfId="0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164" fontId="15" fillId="2" borderId="0" xfId="0" applyNumberFormat="1" applyFont="1" applyFill="1"/>
    <xf numFmtId="0" fontId="5" fillId="7" borderId="0" xfId="0" applyFont="1" applyFill="1"/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0" fontId="16" fillId="8" borderId="2" xfId="0" applyFont="1" applyFill="1" applyBorder="1" applyAlignment="1">
      <alignment horizontal="right"/>
    </xf>
    <xf numFmtId="164" fontId="21" fillId="8" borderId="4" xfId="0" applyNumberFormat="1" applyFont="1" applyFill="1" applyBorder="1" applyAlignment="1">
      <alignment horizontal="right"/>
    </xf>
    <xf numFmtId="164" fontId="11" fillId="8" borderId="4" xfId="0" applyNumberFormat="1" applyFont="1" applyFill="1" applyBorder="1" applyAlignment="1">
      <alignment horizontal="right"/>
    </xf>
    <xf numFmtId="3" fontId="5" fillId="8" borderId="4" xfId="0" applyNumberFormat="1" applyFont="1" applyFill="1" applyBorder="1"/>
    <xf numFmtId="165" fontId="5" fillId="8" borderId="3" xfId="0" applyNumberFormat="1" applyFont="1" applyFill="1" applyBorder="1"/>
    <xf numFmtId="0" fontId="20" fillId="2" borderId="5" xfId="0" applyFont="1" applyFill="1" applyBorder="1"/>
    <xf numFmtId="0" fontId="5" fillId="0" borderId="0" xfId="0" applyFont="1"/>
    <xf numFmtId="0" fontId="1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64" fontId="5" fillId="9" borderId="0" xfId="0" applyNumberFormat="1" applyFont="1" applyFill="1"/>
    <xf numFmtId="0" fontId="23" fillId="0" borderId="0" xfId="0" applyFont="1"/>
    <xf numFmtId="0" fontId="23" fillId="0" borderId="0" xfId="0" applyFont="1" applyAlignment="1">
      <alignment horizontal="right"/>
    </xf>
    <xf numFmtId="0" fontId="23" fillId="7" borderId="0" xfId="0" applyFont="1" applyFill="1"/>
    <xf numFmtId="165" fontId="23" fillId="0" borderId="0" xfId="0" applyNumberFormat="1" applyFont="1"/>
    <xf numFmtId="0" fontId="12" fillId="0" borderId="0" xfId="0" applyFont="1"/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7" borderId="0" xfId="0" applyFont="1" applyFill="1"/>
    <xf numFmtId="165" fontId="12" fillId="0" borderId="0" xfId="0" applyNumberFormat="1" applyFont="1"/>
    <xf numFmtId="0" fontId="20" fillId="2" borderId="6" xfId="0" applyFont="1" applyFill="1" applyBorder="1"/>
    <xf numFmtId="0" fontId="20" fillId="2" borderId="7" xfId="0" applyFont="1" applyFill="1" applyBorder="1"/>
    <xf numFmtId="0" fontId="5" fillId="0" borderId="6" xfId="0" applyFont="1" applyBorder="1" applyAlignment="1">
      <alignment horizontal="right"/>
    </xf>
    <xf numFmtId="0" fontId="5" fillId="9" borderId="0" xfId="0" applyFont="1" applyFill="1"/>
    <xf numFmtId="0" fontId="23" fillId="0" borderId="0" xfId="0" applyFont="1" applyAlignment="1">
      <alignment wrapText="1"/>
    </xf>
    <xf numFmtId="0" fontId="12" fillId="0" borderId="8" xfId="0" applyFont="1" applyBorder="1"/>
    <xf numFmtId="3" fontId="12" fillId="0" borderId="8" xfId="0" applyNumberFormat="1" applyFont="1" applyBorder="1"/>
    <xf numFmtId="164" fontId="12" fillId="0" borderId="8" xfId="0" applyNumberFormat="1" applyFont="1" applyBorder="1"/>
    <xf numFmtId="3" fontId="12" fillId="0" borderId="0" xfId="0" applyNumberFormat="1" applyFont="1"/>
    <xf numFmtId="164" fontId="12" fillId="0" borderId="0" xfId="0" applyNumberFormat="1" applyFont="1"/>
    <xf numFmtId="165" fontId="5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2" fillId="10" borderId="0" xfId="0" applyFont="1" applyFill="1"/>
    <xf numFmtId="165" fontId="5" fillId="0" borderId="6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5" fillId="2" borderId="0" xfId="0" applyFont="1" applyFill="1"/>
    <xf numFmtId="0" fontId="25" fillId="0" borderId="0" xfId="0" applyFont="1"/>
    <xf numFmtId="0" fontId="26" fillId="2" borderId="0" xfId="0" applyFont="1" applyFill="1"/>
    <xf numFmtId="0" fontId="5" fillId="0" borderId="5" xfId="0" applyFont="1" applyBorder="1"/>
    <xf numFmtId="0" fontId="27" fillId="2" borderId="5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164" fontId="2" fillId="2" borderId="0" xfId="0" applyNumberFormat="1" applyFont="1" applyFill="1" applyAlignment="1">
      <alignment horizontal="right"/>
    </xf>
    <xf numFmtId="0" fontId="0" fillId="0" borderId="0" xfId="0"/>
    <xf numFmtId="0" fontId="4" fillId="4" borderId="0" xfId="0" applyFont="1" applyFill="1" applyAlignment="1">
      <alignment horizontal="left"/>
    </xf>
    <xf numFmtId="0" fontId="6" fillId="4" borderId="0" xfId="0" applyFont="1" applyFill="1"/>
    <xf numFmtId="0" fontId="14" fillId="2" borderId="0" xfId="0" applyFont="1" applyFill="1"/>
    <xf numFmtId="0" fontId="5" fillId="0" borderId="0" xfId="0" applyFont="1"/>
    <xf numFmtId="0" fontId="5" fillId="2" borderId="0" xfId="0" applyFont="1" applyFill="1"/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Fruit Trees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Landscape Trees 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189">
  <tableColumns count="7">
    <tableColumn id="1" xr3:uid="{00000000-0010-0000-0000-000001000000}" name="Common Name"/>
    <tableColumn id="2" xr3:uid="{00000000-0010-0000-0000-000002000000}" name="Pot Size Sorting"/>
    <tableColumn id="3" xr3:uid="{00000000-0010-0000-0000-000003000000}" name="Pot Size"/>
    <tableColumn id="4" xr3:uid="{00000000-0010-0000-0000-000004000000}" name="Caliper "/>
    <tableColumn id="5" xr3:uid="{00000000-0010-0000-0000-000005000000}" name="Height "/>
    <tableColumn id="6" xr3:uid="{00000000-0010-0000-0000-000006000000}" name="Quantity"/>
    <tableColumn id="7" xr3:uid="{00000000-0010-0000-0000-000007000000}" name="Price"/>
  </tableColumns>
  <tableStyleInfo name="Fruit Tre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Z266" headerRowCount="0">
  <tableColumns count="2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  <tableColumn id="26" xr3:uid="{00000000-0010-0000-0100-00001A000000}" name="Column26"/>
  </tableColumns>
  <tableStyleInfo name="Landscape Trees 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460"/>
  <sheetViews>
    <sheetView tabSelected="1" workbookViewId="0">
      <selection activeCell="J18" sqref="J18"/>
    </sheetView>
  </sheetViews>
  <sheetFormatPr defaultColWidth="12.5703125" defaultRowHeight="15.75" customHeight="1" x14ac:dyDescent="0.2"/>
  <cols>
    <col min="1" max="1" width="38.28515625" customWidth="1"/>
    <col min="2" max="2" width="33.42578125" customWidth="1"/>
    <col min="3" max="3" width="18" customWidth="1"/>
    <col min="4" max="4" width="15" customWidth="1"/>
    <col min="5" max="5" width="13.28515625" customWidth="1"/>
    <col min="6" max="6" width="16" customWidth="1"/>
    <col min="7" max="7" width="37.42578125" customWidth="1"/>
    <col min="8" max="8" width="4.28515625" hidden="1" customWidth="1"/>
    <col min="9" max="9" width="12.71093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1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3</v>
      </c>
      <c r="B3" s="80"/>
      <c r="C3" s="80"/>
      <c r="D3" s="80"/>
      <c r="E3" s="9"/>
      <c r="F3" s="10" t="s">
        <v>4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10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30" x14ac:dyDescent="0.4">
      <c r="A6" s="23"/>
      <c r="B6" s="24"/>
      <c r="C6" s="25"/>
      <c r="D6" s="26"/>
      <c r="E6" s="27"/>
      <c r="F6" s="26"/>
      <c r="G6" s="28" t="s">
        <v>11</v>
      </c>
      <c r="H6" s="29"/>
      <c r="I6" s="30"/>
      <c r="J6" s="16">
        <f>I6*5</f>
        <v>0</v>
      </c>
      <c r="K6" s="16"/>
    </row>
    <row r="7" spans="1:11" ht="30" x14ac:dyDescent="0.4">
      <c r="A7" s="23"/>
      <c r="B7" s="31"/>
      <c r="C7" s="25"/>
      <c r="D7" s="26"/>
      <c r="E7" s="27"/>
      <c r="F7" s="26"/>
      <c r="G7" s="28" t="s">
        <v>12</v>
      </c>
      <c r="H7" s="29"/>
      <c r="I7" s="30"/>
      <c r="J7" s="16">
        <f ca="1">I7*I8</f>
        <v>0</v>
      </c>
      <c r="K7" s="16" t="e">
        <f>1/I9</f>
        <v>#DIV/0!</v>
      </c>
    </row>
    <row r="8" spans="1:11" ht="30" x14ac:dyDescent="0.4">
      <c r="A8" s="32"/>
      <c r="B8" s="31"/>
      <c r="C8" s="25"/>
      <c r="D8" s="26"/>
      <c r="E8" s="27"/>
      <c r="F8" s="26"/>
      <c r="G8" s="28" t="s">
        <v>13</v>
      </c>
      <c r="H8" s="33"/>
      <c r="I8" s="15">
        <f ca="1">J457</f>
        <v>0</v>
      </c>
      <c r="J8" s="16">
        <f ca="1">I8*1.06</f>
        <v>0</v>
      </c>
      <c r="K8" s="16">
        <v>25</v>
      </c>
    </row>
    <row r="9" spans="1:11" ht="45.75" x14ac:dyDescent="0.65">
      <c r="A9" s="34"/>
      <c r="B9" s="24"/>
      <c r="C9" s="25"/>
      <c r="D9" s="26"/>
      <c r="E9" s="27"/>
      <c r="F9" s="35"/>
      <c r="G9" s="36" t="s">
        <v>14</v>
      </c>
      <c r="H9" s="37"/>
      <c r="I9" s="38"/>
      <c r="J9" s="39">
        <f ca="1">SUM(J6:J8)</f>
        <v>0</v>
      </c>
      <c r="K9" s="16">
        <f>I9*5</f>
        <v>0</v>
      </c>
    </row>
    <row r="10" spans="1:11" ht="45" x14ac:dyDescent="0.6">
      <c r="A10" s="40" t="s">
        <v>15</v>
      </c>
      <c r="B10" s="41"/>
      <c r="C10" s="42"/>
      <c r="D10" s="43"/>
      <c r="E10" s="44" t="s">
        <v>16</v>
      </c>
      <c r="F10" s="45"/>
      <c r="G10" s="45"/>
      <c r="H10" s="15"/>
      <c r="I10" s="46"/>
      <c r="J10" s="16"/>
      <c r="K10" s="16"/>
    </row>
    <row r="11" spans="1:11" ht="12.75" x14ac:dyDescent="0.2">
      <c r="B11" s="47" t="str">
        <f ca="1">'Fruit Trees'!A1</f>
        <v>Common Name</v>
      </c>
      <c r="C11" s="48" t="str">
        <f ca="1">'Fruit Trees'!C1</f>
        <v>Pot Size</v>
      </c>
      <c r="D11" s="48" t="str">
        <f ca="1">'Fruit Trees'!D1</f>
        <v xml:space="preserve">Caliper </v>
      </c>
      <c r="E11" s="48" t="str">
        <f ca="1">'Fruit Trees'!E1</f>
        <v xml:space="preserve">Height </v>
      </c>
      <c r="F11" s="48" t="str">
        <f ca="1">'Fruit Trees'!F1</f>
        <v>Quantity</v>
      </c>
      <c r="G11" s="48" t="s">
        <v>17</v>
      </c>
      <c r="H11" s="47"/>
      <c r="I11" s="49" t="s">
        <v>18</v>
      </c>
      <c r="J11" s="50" t="s">
        <v>19</v>
      </c>
      <c r="K11" s="50"/>
    </row>
    <row r="12" spans="1:11" ht="12.75" x14ac:dyDescent="0.2">
      <c r="B12" s="51" t="str">
        <f ca="1">'Fruit Trees'!A2</f>
        <v>Almond - Hall's Hardy</v>
      </c>
      <c r="C12" s="42" t="str">
        <f ca="1">'Fruit Trees'!C2</f>
        <v>#7</v>
      </c>
      <c r="D12" s="42" t="str">
        <f ca="1">'Fruit Trees'!D2</f>
        <v>0.75-1.75"</v>
      </c>
      <c r="E12" s="42" t="str">
        <f ca="1">'Fruit Trees'!E2</f>
        <v>5-9'</v>
      </c>
      <c r="F12" s="52">
        <f ca="1">'Fruit Trees'!F2</f>
        <v>22</v>
      </c>
      <c r="G12" s="53">
        <f ca="1">'Fruit Trees'!G2</f>
        <v>80</v>
      </c>
      <c r="H12" s="51" t="str">
        <f t="shared" ref="H12:H266" ca="1" si="0">B12&amp;" "&amp;C12</f>
        <v>Almond - Hall's Hardy #7</v>
      </c>
      <c r="I12" s="54"/>
      <c r="J12" s="55">
        <f t="shared" ref="J12:J186" ca="1" si="1">G12*I12</f>
        <v>0</v>
      </c>
      <c r="K12" s="55"/>
    </row>
    <row r="13" spans="1:11" ht="12.75" x14ac:dyDescent="0.2">
      <c r="B13" s="51" t="str">
        <f ca="1">'Fruit Trees'!A3</f>
        <v>Almond - Hall's Hardy</v>
      </c>
      <c r="C13" s="42" t="str">
        <f ca="1">'Fruit Trees'!C3</f>
        <v>#10</v>
      </c>
      <c r="D13" s="42" t="str">
        <f ca="1">'Fruit Trees'!D3</f>
        <v>1.5-1.5"</v>
      </c>
      <c r="E13" s="42" t="str">
        <f ca="1">'Fruit Trees'!E3</f>
        <v>8-9'</v>
      </c>
      <c r="F13" s="52">
        <f ca="1">'Fruit Trees'!F3</f>
        <v>3</v>
      </c>
      <c r="G13" s="53">
        <f ca="1">'Fruit Trees'!G3</f>
        <v>100</v>
      </c>
      <c r="H13" s="51" t="str">
        <f t="shared" ca="1" si="0"/>
        <v>Almond - Hall's Hardy #10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Trees'!A4</f>
        <v>Apple - 3in1 3-Tier Espalier (Honeycrisp-Akane-Liberty)</v>
      </c>
      <c r="C14" s="42" t="str">
        <f ca="1">'Fruit Trees'!C4</f>
        <v>#10</v>
      </c>
      <c r="D14" s="42" t="str">
        <f ca="1">'Fruit Trees'!D4</f>
        <v>0.75-1"</v>
      </c>
      <c r="E14" s="42" t="str">
        <f ca="1">'Fruit Trees'!E4</f>
        <v>5-6'</v>
      </c>
      <c r="F14" s="52">
        <f ca="1">'Fruit Trees'!F4</f>
        <v>19</v>
      </c>
      <c r="G14" s="53">
        <f ca="1">'Fruit Trees'!G4</f>
        <v>180</v>
      </c>
      <c r="H14" s="51" t="str">
        <f t="shared" ca="1" si="0"/>
        <v>Apple - 3in1 3-Tier Espalier (Honeycrisp-Akane-Liberty) #10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Trees'!A5</f>
        <v>Apple - 6in1 3-Tier Espalier (Fuji-Gala-Liberty-Honeycrisp-Granny Smith-Yellow Delicious)</v>
      </c>
      <c r="C15" s="42" t="str">
        <f ca="1">'Fruit Trees'!C5</f>
        <v>#10</v>
      </c>
      <c r="D15" s="42" t="str">
        <f ca="1">'Fruit Trees'!D5</f>
        <v>0.75-1"</v>
      </c>
      <c r="E15" s="42" t="str">
        <f ca="1">'Fruit Trees'!E5</f>
        <v>4.5-5'</v>
      </c>
      <c r="F15" s="52">
        <f ca="1">'Fruit Trees'!F5</f>
        <v>11</v>
      </c>
      <c r="G15" s="53">
        <f ca="1">'Fruit Trees'!G5</f>
        <v>180</v>
      </c>
      <c r="H15" s="51" t="str">
        <f t="shared" ca="1" si="0"/>
        <v>Apple - 6in1 3-Tier Espalier (Fuji-Gala-Liberty-Honeycrisp-Granny Smith-Yellow Delicious) #10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Trees'!A6</f>
        <v>Apple - Ambrosia</v>
      </c>
      <c r="C16" s="42" t="str">
        <f ca="1">'Fruit Trees'!C6</f>
        <v>#5</v>
      </c>
      <c r="D16" s="42" t="str">
        <f ca="1">'Fruit Trees'!D6</f>
        <v>1-1.5"</v>
      </c>
      <c r="E16" s="42" t="str">
        <f ca="1">'Fruit Trees'!E6</f>
        <v>7-10'</v>
      </c>
      <c r="F16" s="52">
        <f ca="1">'Fruit Trees'!F6</f>
        <v>138</v>
      </c>
      <c r="G16" s="53">
        <f ca="1">'Fruit Trees'!G6</f>
        <v>55</v>
      </c>
      <c r="H16" s="51" t="str">
        <f t="shared" ca="1" si="0"/>
        <v>Apple - Ambrosia #5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Trees'!A7</f>
        <v>Apple - Arkansas Black</v>
      </c>
      <c r="C17" s="42" t="str">
        <f ca="1">'Fruit Trees'!C7</f>
        <v>#5</v>
      </c>
      <c r="D17" s="42" t="str">
        <f ca="1">'Fruit Trees'!D7</f>
        <v>0.75-1.25"</v>
      </c>
      <c r="E17" s="42" t="str">
        <f ca="1">'Fruit Trees'!E7</f>
        <v>4-10'</v>
      </c>
      <c r="F17" s="52">
        <f ca="1">'Fruit Trees'!F7</f>
        <v>151</v>
      </c>
      <c r="G17" s="53">
        <f ca="1">'Fruit Trees'!G7</f>
        <v>55</v>
      </c>
      <c r="H17" s="51" t="str">
        <f t="shared" ca="1" si="0"/>
        <v>Apple - Arkansas Black #5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Trees'!A8</f>
        <v>Apple - Arkansas Black</v>
      </c>
      <c r="C18" s="42" t="str">
        <f ca="1">'Fruit Trees'!C8</f>
        <v>#10</v>
      </c>
      <c r="D18" s="42" t="str">
        <f ca="1">'Fruit Trees'!D8</f>
        <v>1-1"</v>
      </c>
      <c r="E18" s="42" t="str">
        <f ca="1">'Fruit Trees'!E8</f>
        <v>6-8'</v>
      </c>
      <c r="F18" s="52">
        <f ca="1">'Fruit Trees'!F8</f>
        <v>14</v>
      </c>
      <c r="G18" s="53">
        <f ca="1">'Fruit Trees'!G8</f>
        <v>100</v>
      </c>
      <c r="H18" s="51" t="str">
        <f t="shared" ca="1" si="0"/>
        <v>Apple - Arkansas Black #10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Trees'!A9</f>
        <v>Apple - Baldwin</v>
      </c>
      <c r="C19" s="42" t="str">
        <f ca="1">'Fruit Trees'!C9</f>
        <v>#5</v>
      </c>
      <c r="D19" s="42" t="str">
        <f ca="1">'Fruit Trees'!D9</f>
        <v>0.75-1.25"</v>
      </c>
      <c r="E19" s="42" t="str">
        <f ca="1">'Fruit Trees'!E9</f>
        <v>8-12'</v>
      </c>
      <c r="F19" s="52">
        <f ca="1">'Fruit Trees'!F9</f>
        <v>70</v>
      </c>
      <c r="G19" s="53">
        <f ca="1">'Fruit Trees'!G9</f>
        <v>55</v>
      </c>
      <c r="H19" s="51" t="str">
        <f t="shared" ca="1" si="0"/>
        <v>Apple - Baldwin #5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Trees'!A10</f>
        <v>Apple - Cortland</v>
      </c>
      <c r="C20" s="42" t="str">
        <f ca="1">'Fruit Trees'!C10</f>
        <v>#5</v>
      </c>
      <c r="D20" s="42" t="str">
        <f ca="1">'Fruit Trees'!D10</f>
        <v>0.5-1"</v>
      </c>
      <c r="E20" s="42" t="str">
        <f ca="1">'Fruit Trees'!E10</f>
        <v>5-7'</v>
      </c>
      <c r="F20" s="52">
        <f ca="1">'Fruit Trees'!F10</f>
        <v>53</v>
      </c>
      <c r="G20" s="53">
        <f ca="1">'Fruit Trees'!G10</f>
        <v>55</v>
      </c>
      <c r="H20" s="51" t="str">
        <f t="shared" ca="1" si="0"/>
        <v>Apple - Cortland #5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Trees'!A11</f>
        <v>Apple - Crimson Crisp</v>
      </c>
      <c r="C21" s="42" t="str">
        <f ca="1">'Fruit Trees'!C11</f>
        <v>#5</v>
      </c>
      <c r="D21" s="42" t="str">
        <f ca="1">'Fruit Trees'!D11</f>
        <v>0.75-1"</v>
      </c>
      <c r="E21" s="42" t="str">
        <f ca="1">'Fruit Trees'!E11</f>
        <v>4-9'</v>
      </c>
      <c r="F21" s="52">
        <f ca="1">'Fruit Trees'!F11</f>
        <v>46</v>
      </c>
      <c r="G21" s="53">
        <f ca="1">'Fruit Trees'!G11</f>
        <v>55</v>
      </c>
      <c r="H21" s="51" t="str">
        <f t="shared" ca="1" si="0"/>
        <v>Apple - Crimson Crisp #5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Trees'!A12</f>
        <v>Apple - Crown Empire</v>
      </c>
      <c r="C22" s="42" t="str">
        <f ca="1">'Fruit Trees'!C12</f>
        <v>#5</v>
      </c>
      <c r="D22" s="42" t="str">
        <f ca="1">'Fruit Trees'!D12</f>
        <v>0.5-1.25"</v>
      </c>
      <c r="E22" s="42" t="str">
        <f ca="1">'Fruit Trees'!E12</f>
        <v>3-9'</v>
      </c>
      <c r="F22" s="52">
        <f ca="1">'Fruit Trees'!F12</f>
        <v>10</v>
      </c>
      <c r="G22" s="53">
        <f ca="1">'Fruit Trees'!G12</f>
        <v>55</v>
      </c>
      <c r="H22" s="51" t="str">
        <f t="shared" ca="1" si="0"/>
        <v>Apple - Crown Empire #5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Trees'!A13</f>
        <v>Apple - Enterprise</v>
      </c>
      <c r="C23" s="42" t="str">
        <f ca="1">'Fruit Trees'!C13</f>
        <v>#5</v>
      </c>
      <c r="D23" s="42" t="str">
        <f ca="1">'Fruit Trees'!D13</f>
        <v>0.5-1.25"</v>
      </c>
      <c r="E23" s="42" t="str">
        <f ca="1">'Fruit Trees'!E13</f>
        <v>5-8'</v>
      </c>
      <c r="F23" s="52">
        <f ca="1">'Fruit Trees'!F13</f>
        <v>341</v>
      </c>
      <c r="G23" s="53">
        <f ca="1">'Fruit Trees'!G13</f>
        <v>55</v>
      </c>
      <c r="H23" s="51" t="str">
        <f t="shared" ca="1" si="0"/>
        <v>Apple - Enterprise #5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Trees'!A14</f>
        <v>Apple - Enterprise</v>
      </c>
      <c r="C24" s="42" t="str">
        <f ca="1">'Fruit Trees'!C14</f>
        <v>#10</v>
      </c>
      <c r="D24" s="42" t="str">
        <f ca="1">'Fruit Trees'!D14</f>
        <v>0.75-1.5"</v>
      </c>
      <c r="E24" s="42" t="str">
        <f ca="1">'Fruit Trees'!E14</f>
        <v>6-10'</v>
      </c>
      <c r="F24" s="52">
        <f ca="1">'Fruit Trees'!F14</f>
        <v>21</v>
      </c>
      <c r="G24" s="53">
        <f ca="1">'Fruit Trees'!G14</f>
        <v>100</v>
      </c>
      <c r="H24" s="51" t="str">
        <f t="shared" ca="1" si="0"/>
        <v>Apple - Enterprise #10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Trees'!A15</f>
        <v>Apple - Enterprise</v>
      </c>
      <c r="C25" s="42" t="str">
        <f ca="1">'Fruit Trees'!C15</f>
        <v>#15</v>
      </c>
      <c r="D25" s="42" t="str">
        <f ca="1">'Fruit Trees'!D15</f>
        <v>1.25-1.5"</v>
      </c>
      <c r="E25" s="42" t="str">
        <f ca="1">'Fruit Trees'!E15</f>
        <v>8-9'</v>
      </c>
      <c r="F25" s="52">
        <f ca="1">'Fruit Trees'!F15</f>
        <v>17</v>
      </c>
      <c r="G25" s="53">
        <f ca="1">'Fruit Trees'!G15</f>
        <v>150</v>
      </c>
      <c r="H25" s="51" t="str">
        <f t="shared" ca="1" si="0"/>
        <v>Apple - Enterprise #15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Trees'!A16</f>
        <v>Apple - Freedom</v>
      </c>
      <c r="C26" s="42" t="str">
        <f ca="1">'Fruit Trees'!C16</f>
        <v>#5</v>
      </c>
      <c r="D26" s="42" t="str">
        <f ca="1">'Fruit Trees'!D16</f>
        <v>0.5-1.25"</v>
      </c>
      <c r="E26" s="42" t="str">
        <f ca="1">'Fruit Trees'!E16</f>
        <v>6-9'</v>
      </c>
      <c r="F26" s="52">
        <f ca="1">'Fruit Trees'!F16</f>
        <v>120</v>
      </c>
      <c r="G26" s="53">
        <f ca="1">'Fruit Trees'!G16</f>
        <v>55</v>
      </c>
      <c r="H26" s="51" t="str">
        <f t="shared" ca="1" si="0"/>
        <v>Apple - Freedom #5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Trees'!A17</f>
        <v>Apple - Fuji</v>
      </c>
      <c r="C27" s="42" t="str">
        <f ca="1">'Fruit Trees'!C17</f>
        <v>#5</v>
      </c>
      <c r="D27" s="42" t="str">
        <f ca="1">'Fruit Trees'!D17</f>
        <v>0.75-1.25"</v>
      </c>
      <c r="E27" s="42" t="str">
        <f ca="1">'Fruit Trees'!E17</f>
        <v>4-11'</v>
      </c>
      <c r="F27" s="52">
        <f ca="1">'Fruit Trees'!F17</f>
        <v>130</v>
      </c>
      <c r="G27" s="53">
        <f ca="1">'Fruit Trees'!G17</f>
        <v>55</v>
      </c>
      <c r="H27" s="51" t="str">
        <f t="shared" ca="1" si="0"/>
        <v>Apple - Fuji #5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Trees'!A18</f>
        <v>Apple - Fuji</v>
      </c>
      <c r="C28" s="42" t="str">
        <f ca="1">'Fruit Trees'!C18</f>
        <v>#10</v>
      </c>
      <c r="D28" s="42" t="str">
        <f ca="1">'Fruit Trees'!D18</f>
        <v>1-1.25"</v>
      </c>
      <c r="E28" s="42" t="str">
        <f ca="1">'Fruit Trees'!E18</f>
        <v>6-7.5'</v>
      </c>
      <c r="F28" s="52">
        <f ca="1">'Fruit Trees'!F18</f>
        <v>12</v>
      </c>
      <c r="G28" s="53">
        <f ca="1">'Fruit Trees'!G18</f>
        <v>100</v>
      </c>
      <c r="H28" s="51" t="str">
        <f t="shared" ca="1" si="0"/>
        <v>Apple - Fuji #10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Trees'!A19</f>
        <v>Apple - Fuji</v>
      </c>
      <c r="C29" s="42" t="str">
        <f ca="1">'Fruit Trees'!C19</f>
        <v>#15</v>
      </c>
      <c r="D29" s="42" t="str">
        <f ca="1">'Fruit Trees'!D19</f>
        <v>1.25-1.5"</v>
      </c>
      <c r="E29" s="42" t="str">
        <f ca="1">'Fruit Trees'!E19</f>
        <v>8-9'</v>
      </c>
      <c r="F29" s="52">
        <f ca="1">'Fruit Trees'!F19</f>
        <v>7</v>
      </c>
      <c r="G29" s="53">
        <f ca="1">'Fruit Trees'!G19</f>
        <v>150</v>
      </c>
      <c r="H29" s="51" t="str">
        <f t="shared" ca="1" si="0"/>
        <v>Apple - Fuji #15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Trees'!A20</f>
        <v>Apple - Gala</v>
      </c>
      <c r="C30" s="42" t="str">
        <f ca="1">'Fruit Trees'!C20</f>
        <v>#5</v>
      </c>
      <c r="D30" s="42" t="str">
        <f ca="1">'Fruit Trees'!D20</f>
        <v>0.75-1.25"</v>
      </c>
      <c r="E30" s="42" t="str">
        <f ca="1">'Fruit Trees'!E20</f>
        <v>5-8'</v>
      </c>
      <c r="F30" s="52">
        <f ca="1">'Fruit Trees'!F20</f>
        <v>132</v>
      </c>
      <c r="G30" s="53">
        <f ca="1">'Fruit Trees'!G20</f>
        <v>55</v>
      </c>
      <c r="H30" s="51" t="str">
        <f t="shared" ca="1" si="0"/>
        <v>Apple - Gala #5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Trees'!A21</f>
        <v>Apple - Gala</v>
      </c>
      <c r="C31" s="42" t="str">
        <f ca="1">'Fruit Trees'!C21</f>
        <v>#10</v>
      </c>
      <c r="D31" s="42" t="str">
        <f ca="1">'Fruit Trees'!D21</f>
        <v>0.75-1"</v>
      </c>
      <c r="E31" s="42" t="str">
        <f ca="1">'Fruit Trees'!E21</f>
        <v>6-8'</v>
      </c>
      <c r="F31" s="52">
        <f ca="1">'Fruit Trees'!F21</f>
        <v>3</v>
      </c>
      <c r="G31" s="53">
        <f ca="1">'Fruit Trees'!G21</f>
        <v>100</v>
      </c>
      <c r="H31" s="51" t="str">
        <f t="shared" ca="1" si="0"/>
        <v>Apple - Gala #10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Trees'!A22</f>
        <v>Apple - Gala</v>
      </c>
      <c r="C32" s="42" t="str">
        <f ca="1">'Fruit Trees'!C22</f>
        <v>#15</v>
      </c>
      <c r="D32" s="42" t="str">
        <f ca="1">'Fruit Trees'!D22</f>
        <v>1.25-1.5"</v>
      </c>
      <c r="E32" s="42" t="str">
        <f ca="1">'Fruit Trees'!E22</f>
        <v>9-10'</v>
      </c>
      <c r="F32" s="52">
        <f ca="1">'Fruit Trees'!F22</f>
        <v>10</v>
      </c>
      <c r="G32" s="53">
        <f ca="1">'Fruit Trees'!G22</f>
        <v>150</v>
      </c>
      <c r="H32" s="51" t="str">
        <f t="shared" ca="1" si="0"/>
        <v>Apple - Gala #15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Trees'!A23</f>
        <v>Apple - Galarina</v>
      </c>
      <c r="C33" s="42" t="str">
        <f ca="1">'Fruit Trees'!C23</f>
        <v>#5</v>
      </c>
      <c r="D33" s="42" t="str">
        <f ca="1">'Fruit Trees'!D23</f>
        <v>1-1.25"</v>
      </c>
      <c r="E33" s="42" t="str">
        <f ca="1">'Fruit Trees'!E23</f>
        <v>8.5-12'</v>
      </c>
      <c r="F33" s="52">
        <f ca="1">'Fruit Trees'!F23</f>
        <v>84</v>
      </c>
      <c r="G33" s="53">
        <f ca="1">'Fruit Trees'!G23</f>
        <v>55</v>
      </c>
      <c r="H33" s="51" t="str">
        <f t="shared" ca="1" si="0"/>
        <v>Apple - Galarina #5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Trees'!A24</f>
        <v>Apple - Gold Rush</v>
      </c>
      <c r="C34" s="42" t="str">
        <f ca="1">'Fruit Trees'!C24</f>
        <v>#5</v>
      </c>
      <c r="D34" s="42" t="str">
        <f ca="1">'Fruit Trees'!D24</f>
        <v>0.75-1"</v>
      </c>
      <c r="E34" s="42" t="str">
        <f ca="1">'Fruit Trees'!E24</f>
        <v>7.5-8.5'</v>
      </c>
      <c r="F34" s="52">
        <f ca="1">'Fruit Trees'!F24</f>
        <v>52</v>
      </c>
      <c r="G34" s="53">
        <f ca="1">'Fruit Trees'!G24</f>
        <v>55</v>
      </c>
      <c r="H34" s="51" t="str">
        <f t="shared" ca="1" si="0"/>
        <v>Apple - Gold Rush #5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Trees'!A25</f>
        <v>Apple - Granny Smith</v>
      </c>
      <c r="C35" s="42" t="str">
        <f ca="1">'Fruit Trees'!C25</f>
        <v>#5</v>
      </c>
      <c r="D35" s="42" t="str">
        <f ca="1">'Fruit Trees'!D25</f>
        <v>0.5-1.25"</v>
      </c>
      <c r="E35" s="42" t="str">
        <f ca="1">'Fruit Trees'!E25</f>
        <v>6-10'</v>
      </c>
      <c r="F35" s="52">
        <f ca="1">'Fruit Trees'!F25</f>
        <v>60</v>
      </c>
      <c r="G35" s="53">
        <f ca="1">'Fruit Trees'!G25</f>
        <v>55</v>
      </c>
      <c r="H35" s="51" t="str">
        <f t="shared" ca="1" si="0"/>
        <v>Apple - Granny Smith #5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Trees'!A26</f>
        <v>Apple - Granny Smith</v>
      </c>
      <c r="C36" s="42" t="str">
        <f ca="1">'Fruit Trees'!C26</f>
        <v>#15</v>
      </c>
      <c r="D36" s="42" t="str">
        <f ca="1">'Fruit Trees'!D26</f>
        <v>1-1.25"</v>
      </c>
      <c r="E36" s="42" t="str">
        <f ca="1">'Fruit Trees'!E26</f>
        <v>9-11'</v>
      </c>
      <c r="F36" s="52">
        <f ca="1">'Fruit Trees'!F26</f>
        <v>7</v>
      </c>
      <c r="G36" s="53">
        <f ca="1">'Fruit Trees'!G26</f>
        <v>150</v>
      </c>
      <c r="H36" s="51" t="str">
        <f t="shared" ca="1" si="0"/>
        <v>Apple - Granny Smith #15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Trees'!A27</f>
        <v>Apple - Honeycrisp</v>
      </c>
      <c r="C37" s="42" t="str">
        <f ca="1">'Fruit Trees'!C27</f>
        <v>#5</v>
      </c>
      <c r="D37" s="42" t="str">
        <f ca="1">'Fruit Trees'!D27</f>
        <v>0.5-1"</v>
      </c>
      <c r="E37" s="42" t="str">
        <f ca="1">'Fruit Trees'!E27</f>
        <v>6.5-9'</v>
      </c>
      <c r="F37" s="52">
        <f ca="1">'Fruit Trees'!F27</f>
        <v>15</v>
      </c>
      <c r="G37" s="53">
        <f ca="1">'Fruit Trees'!G27</f>
        <v>55</v>
      </c>
      <c r="H37" s="51" t="str">
        <f t="shared" ca="1" si="0"/>
        <v>Apple - Honeycrisp #5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Trees'!A28</f>
        <v>Apple - Honeycrisp</v>
      </c>
      <c r="C38" s="42" t="str">
        <f ca="1">'Fruit Trees'!C28</f>
        <v>#10</v>
      </c>
      <c r="D38" s="42" t="str">
        <f ca="1">'Fruit Trees'!D28</f>
        <v>1-1.25"</v>
      </c>
      <c r="E38" s="42" t="str">
        <f ca="1">'Fruit Trees'!E28</f>
        <v>6-9'</v>
      </c>
      <c r="F38" s="52">
        <f ca="1">'Fruit Trees'!F28</f>
        <v>1</v>
      </c>
      <c r="G38" s="53">
        <f ca="1">'Fruit Trees'!G28</f>
        <v>100</v>
      </c>
      <c r="H38" s="51" t="str">
        <f t="shared" ca="1" si="0"/>
        <v>Apple - Honeycrisp #10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Trees'!A29</f>
        <v>Apple - Initial</v>
      </c>
      <c r="C39" s="42" t="str">
        <f ca="1">'Fruit Trees'!C29</f>
        <v>#5</v>
      </c>
      <c r="D39" s="42" t="str">
        <f ca="1">'Fruit Trees'!D29</f>
        <v>0.75-1.5"</v>
      </c>
      <c r="E39" s="42" t="str">
        <f ca="1">'Fruit Trees'!E29</f>
        <v>6-10'</v>
      </c>
      <c r="F39" s="52">
        <f ca="1">'Fruit Trees'!F29</f>
        <v>86</v>
      </c>
      <c r="G39" s="53">
        <f ca="1">'Fruit Trees'!G29</f>
        <v>55</v>
      </c>
      <c r="H39" s="51" t="str">
        <f t="shared" ca="1" si="0"/>
        <v>Apple - Initial #5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Trees'!A30</f>
        <v>Apple - Liberty</v>
      </c>
      <c r="C40" s="42" t="str">
        <f ca="1">'Fruit Trees'!C30</f>
        <v>#5</v>
      </c>
      <c r="D40" s="42" t="str">
        <f ca="1">'Fruit Trees'!D30</f>
        <v>0.5-1.75"</v>
      </c>
      <c r="E40" s="42" t="str">
        <f ca="1">'Fruit Trees'!E30</f>
        <v>7-9'</v>
      </c>
      <c r="F40" s="52">
        <f ca="1">'Fruit Trees'!F30</f>
        <v>165</v>
      </c>
      <c r="G40" s="53">
        <f ca="1">'Fruit Trees'!G30</f>
        <v>55</v>
      </c>
      <c r="H40" s="51" t="str">
        <f t="shared" ca="1" si="0"/>
        <v>Apple - Liberty #5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Trees'!A31</f>
        <v>Apple - Macoun</v>
      </c>
      <c r="C41" s="42" t="str">
        <f ca="1">'Fruit Trees'!C31</f>
        <v>#5</v>
      </c>
      <c r="D41" s="42" t="str">
        <f ca="1">'Fruit Trees'!D31</f>
        <v>1-1.25"</v>
      </c>
      <c r="E41" s="42" t="str">
        <f ca="1">'Fruit Trees'!E31</f>
        <v>9-10'</v>
      </c>
      <c r="F41" s="52">
        <f ca="1">'Fruit Trees'!F31</f>
        <v>103</v>
      </c>
      <c r="G41" s="53">
        <f ca="1">'Fruit Trees'!G31</f>
        <v>55</v>
      </c>
      <c r="H41" s="51" t="str">
        <f t="shared" ca="1" si="0"/>
        <v>Apple - Macoun #5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Trees'!A32</f>
        <v>Apple - McIntosh</v>
      </c>
      <c r="C42" s="42" t="str">
        <f ca="1">'Fruit Trees'!C32</f>
        <v>#5</v>
      </c>
      <c r="D42" s="42" t="str">
        <f ca="1">'Fruit Trees'!D32</f>
        <v>0.75-1.25"</v>
      </c>
      <c r="E42" s="42" t="str">
        <f ca="1">'Fruit Trees'!E32</f>
        <v>5-12'</v>
      </c>
      <c r="F42" s="52">
        <f ca="1">'Fruit Trees'!F32</f>
        <v>84</v>
      </c>
      <c r="G42" s="53">
        <f ca="1">'Fruit Trees'!G32</f>
        <v>55</v>
      </c>
      <c r="H42" s="51" t="str">
        <f t="shared" ca="1" si="0"/>
        <v>Apple - McIntosh #5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Trees'!A33</f>
        <v>Apple - McIntosh</v>
      </c>
      <c r="C43" s="42" t="str">
        <f ca="1">'Fruit Trees'!C33</f>
        <v>#10</v>
      </c>
      <c r="D43" s="42" t="str">
        <f ca="1">'Fruit Trees'!D33</f>
        <v>0.75-1.25"</v>
      </c>
      <c r="E43" s="42" t="str">
        <f ca="1">'Fruit Trees'!E33</f>
        <v>5-11'</v>
      </c>
      <c r="F43" s="52">
        <f ca="1">'Fruit Trees'!F33</f>
        <v>12</v>
      </c>
      <c r="G43" s="53">
        <f ca="1">'Fruit Trees'!G33</f>
        <v>100</v>
      </c>
      <c r="H43" s="51" t="str">
        <f t="shared" ca="1" si="0"/>
        <v>Apple - McIntosh #10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Trees'!A34</f>
        <v>Apple - McIntosh</v>
      </c>
      <c r="C44" s="42" t="str">
        <f ca="1">'Fruit Trees'!C34</f>
        <v>#15</v>
      </c>
      <c r="D44" s="42" t="str">
        <f ca="1">'Fruit Trees'!D34</f>
        <v>1.25-1.5"</v>
      </c>
      <c r="E44" s="42" t="str">
        <f ca="1">'Fruit Trees'!E34</f>
        <v>8-10'</v>
      </c>
      <c r="F44" s="52">
        <f ca="1">'Fruit Trees'!F34</f>
        <v>9</v>
      </c>
      <c r="G44" s="53">
        <f ca="1">'Fruit Trees'!G34</f>
        <v>150</v>
      </c>
      <c r="H44" s="51" t="str">
        <f t="shared" ca="1" si="0"/>
        <v>Apple - McIntosh #15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Trees'!A35</f>
        <v>Apple - Nova Spy</v>
      </c>
      <c r="C45" s="42" t="str">
        <f ca="1">'Fruit Trees'!C35</f>
        <v>#5</v>
      </c>
      <c r="D45" s="42" t="str">
        <f ca="1">'Fruit Trees'!D35</f>
        <v>0.5-1"</v>
      </c>
      <c r="E45" s="42" t="str">
        <f ca="1">'Fruit Trees'!E35</f>
        <v>7-11'</v>
      </c>
      <c r="F45" s="52">
        <f ca="1">'Fruit Trees'!F35</f>
        <v>162</v>
      </c>
      <c r="G45" s="53">
        <f ca="1">'Fruit Trees'!G35</f>
        <v>55</v>
      </c>
      <c r="H45" s="51" t="str">
        <f t="shared" ca="1" si="0"/>
        <v>Apple - Nova Spy #5</v>
      </c>
      <c r="I45" s="54"/>
      <c r="J45" s="55">
        <f t="shared" ca="1" si="1"/>
        <v>0</v>
      </c>
      <c r="K45" s="55"/>
    </row>
    <row r="46" spans="2:11" ht="12.75" x14ac:dyDescent="0.2">
      <c r="B46" s="51" t="str">
        <f ca="1">'Fruit Trees'!A36</f>
        <v>Apple - Pink Lady</v>
      </c>
      <c r="C46" s="42" t="str">
        <f ca="1">'Fruit Trees'!C36</f>
        <v>#5</v>
      </c>
      <c r="D46" s="42" t="str">
        <f ca="1">'Fruit Trees'!D36</f>
        <v>0.5-0.75"</v>
      </c>
      <c r="E46" s="42" t="str">
        <f ca="1">'Fruit Trees'!E36</f>
        <v>5-6'</v>
      </c>
      <c r="F46" s="52">
        <f ca="1">'Fruit Trees'!F36</f>
        <v>22</v>
      </c>
      <c r="G46" s="53">
        <f ca="1">'Fruit Trees'!G36</f>
        <v>55</v>
      </c>
      <c r="H46" s="51" t="str">
        <f t="shared" ca="1" si="0"/>
        <v>Apple - Pink Lady #5</v>
      </c>
      <c r="I46" s="54"/>
      <c r="J46" s="55">
        <f t="shared" ca="1" si="1"/>
        <v>0</v>
      </c>
      <c r="K46" s="55"/>
    </row>
    <row r="47" spans="2:11" ht="12.75" x14ac:dyDescent="0.2">
      <c r="B47" s="51" t="str">
        <f ca="1">'Fruit Trees'!A37</f>
        <v>Apple - Querina</v>
      </c>
      <c r="C47" s="42" t="str">
        <f ca="1">'Fruit Trees'!C37</f>
        <v>#5</v>
      </c>
      <c r="D47" s="42" t="str">
        <f ca="1">'Fruit Trees'!D37</f>
        <v>0.5-1.25"</v>
      </c>
      <c r="E47" s="42" t="str">
        <f ca="1">'Fruit Trees'!E37</f>
        <v>6-10'</v>
      </c>
      <c r="F47" s="52">
        <f ca="1">'Fruit Trees'!F37</f>
        <v>324</v>
      </c>
      <c r="G47" s="53">
        <f ca="1">'Fruit Trees'!G37</f>
        <v>55</v>
      </c>
      <c r="H47" s="51" t="str">
        <f t="shared" ca="1" si="0"/>
        <v>Apple - Querina #5</v>
      </c>
      <c r="I47" s="54"/>
      <c r="J47" s="55">
        <f t="shared" ca="1" si="1"/>
        <v>0</v>
      </c>
      <c r="K47" s="55"/>
    </row>
    <row r="48" spans="2:11" ht="12.75" x14ac:dyDescent="0.2">
      <c r="B48" s="51" t="str">
        <f ca="1">'Fruit Trees'!A38</f>
        <v>Apple - Querina</v>
      </c>
      <c r="C48" s="42" t="str">
        <f ca="1">'Fruit Trees'!C38</f>
        <v>#10</v>
      </c>
      <c r="D48" s="42" t="str">
        <f ca="1">'Fruit Trees'!D38</f>
        <v>1.25-1.25"</v>
      </c>
      <c r="E48" s="42" t="str">
        <f ca="1">'Fruit Trees'!E38</f>
        <v>7-8'</v>
      </c>
      <c r="F48" s="52">
        <f ca="1">'Fruit Trees'!F38</f>
        <v>9</v>
      </c>
      <c r="G48" s="53">
        <f ca="1">'Fruit Trees'!G38</f>
        <v>100</v>
      </c>
      <c r="H48" s="51" t="str">
        <f t="shared" ca="1" si="0"/>
        <v>Apple - Querina #10</v>
      </c>
      <c r="I48" s="54"/>
      <c r="J48" s="55">
        <f t="shared" ca="1" si="1"/>
        <v>0</v>
      </c>
      <c r="K48" s="55"/>
    </row>
    <row r="49" spans="2:11" ht="12.75" x14ac:dyDescent="0.2">
      <c r="B49" s="51" t="str">
        <f ca="1">'Fruit Trees'!A39</f>
        <v>Apple - Red Cameo</v>
      </c>
      <c r="C49" s="42" t="str">
        <f ca="1">'Fruit Trees'!C39</f>
        <v>#5</v>
      </c>
      <c r="D49" s="42" t="str">
        <f ca="1">'Fruit Trees'!D39</f>
        <v>0.5-1"</v>
      </c>
      <c r="E49" s="42" t="str">
        <f ca="1">'Fruit Trees'!E39</f>
        <v>6-9'</v>
      </c>
      <c r="F49" s="52">
        <f ca="1">'Fruit Trees'!F39</f>
        <v>46</v>
      </c>
      <c r="G49" s="53">
        <f ca="1">'Fruit Trees'!G39</f>
        <v>55</v>
      </c>
      <c r="H49" s="51" t="str">
        <f t="shared" ca="1" si="0"/>
        <v>Apple - Red Cameo #5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Trees'!A40</f>
        <v>Apple - Red Delicious</v>
      </c>
      <c r="C50" s="42" t="str">
        <f ca="1">'Fruit Trees'!C40</f>
        <v>#5</v>
      </c>
      <c r="D50" s="42" t="str">
        <f ca="1">'Fruit Trees'!D40</f>
        <v>0.75-1.25"</v>
      </c>
      <c r="E50" s="42" t="str">
        <f ca="1">'Fruit Trees'!E40</f>
        <v>6-11'</v>
      </c>
      <c r="F50" s="52">
        <f ca="1">'Fruit Trees'!F40</f>
        <v>195</v>
      </c>
      <c r="G50" s="53">
        <f ca="1">'Fruit Trees'!G40</f>
        <v>55</v>
      </c>
      <c r="H50" s="51" t="str">
        <f t="shared" ca="1" si="0"/>
        <v>Apple - Red Delicious #5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Trees'!A41</f>
        <v>Apple - Red Delicious</v>
      </c>
      <c r="C51" s="42" t="str">
        <f ca="1">'Fruit Trees'!C41</f>
        <v>#10</v>
      </c>
      <c r="D51" s="42" t="str">
        <f ca="1">'Fruit Trees'!D41</f>
        <v>0.5-1.5"</v>
      </c>
      <c r="E51" s="42" t="str">
        <f ca="1">'Fruit Trees'!E41</f>
        <v>6-11'</v>
      </c>
      <c r="F51" s="52">
        <f ca="1">'Fruit Trees'!F41</f>
        <v>10</v>
      </c>
      <c r="G51" s="53">
        <f ca="1">'Fruit Trees'!G41</f>
        <v>100</v>
      </c>
      <c r="H51" s="51" t="str">
        <f t="shared" ca="1" si="0"/>
        <v>Apple - Red Delicious #10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Trees'!A42</f>
        <v>Apple - Red Delicious</v>
      </c>
      <c r="C52" s="42" t="str">
        <f ca="1">'Fruit Trees'!C42</f>
        <v>#15</v>
      </c>
      <c r="D52" s="42" t="str">
        <f ca="1">'Fruit Trees'!D42</f>
        <v>1.25-1.5"</v>
      </c>
      <c r="E52" s="42" t="str">
        <f ca="1">'Fruit Trees'!E42</f>
        <v>9-10'</v>
      </c>
      <c r="F52" s="52">
        <f ca="1">'Fruit Trees'!F42</f>
        <v>8</v>
      </c>
      <c r="G52" s="53">
        <f ca="1">'Fruit Trees'!G42</f>
        <v>150</v>
      </c>
      <c r="H52" s="51" t="str">
        <f t="shared" ca="1" si="0"/>
        <v>Apple - Red Delicious #15</v>
      </c>
      <c r="I52" s="54"/>
      <c r="J52" s="55">
        <f t="shared" ca="1" si="1"/>
        <v>0</v>
      </c>
      <c r="K52" s="55"/>
    </row>
    <row r="53" spans="2:11" ht="12.75" x14ac:dyDescent="0.2">
      <c r="B53" s="51" t="str">
        <f ca="1">'Fruit Trees'!A43</f>
        <v>Apple - RubyRush</v>
      </c>
      <c r="C53" s="42" t="str">
        <f ca="1">'Fruit Trees'!C43</f>
        <v>#5</v>
      </c>
      <c r="D53" s="42" t="str">
        <f ca="1">'Fruit Trees'!D43</f>
        <v>1-1.25"</v>
      </c>
      <c r="E53" s="42" t="str">
        <f ca="1">'Fruit Trees'!E43</f>
        <v>8-12'</v>
      </c>
      <c r="F53" s="52">
        <f ca="1">'Fruit Trees'!F43</f>
        <v>26</v>
      </c>
      <c r="G53" s="53">
        <f ca="1">'Fruit Trees'!G43</f>
        <v>55</v>
      </c>
      <c r="H53" s="51" t="str">
        <f t="shared" ca="1" si="0"/>
        <v>Apple - RubyRush #5</v>
      </c>
      <c r="I53" s="54"/>
      <c r="J53" s="55">
        <f t="shared" ca="1" si="1"/>
        <v>0</v>
      </c>
      <c r="K53" s="55"/>
    </row>
    <row r="54" spans="2:11" ht="12.75" x14ac:dyDescent="0.2">
      <c r="B54" s="51" t="str">
        <f ca="1">'Fruit Trees'!A44</f>
        <v>Apple - Spur Winter Banana</v>
      </c>
      <c r="C54" s="42" t="str">
        <f ca="1">'Fruit Trees'!C44</f>
        <v>#5</v>
      </c>
      <c r="D54" s="42" t="str">
        <f ca="1">'Fruit Trees'!D44</f>
        <v>0.5-1"</v>
      </c>
      <c r="E54" s="42" t="str">
        <f ca="1">'Fruit Trees'!E44</f>
        <v>4-7'</v>
      </c>
      <c r="F54" s="52">
        <f ca="1">'Fruit Trees'!F44</f>
        <v>34</v>
      </c>
      <c r="G54" s="53">
        <f ca="1">'Fruit Trees'!G44</f>
        <v>55</v>
      </c>
      <c r="H54" s="51" t="str">
        <f t="shared" ca="1" si="0"/>
        <v>Apple - Spur Winter Banana #5</v>
      </c>
      <c r="I54" s="54"/>
      <c r="J54" s="55">
        <f t="shared" ca="1" si="1"/>
        <v>0</v>
      </c>
      <c r="K54" s="55"/>
    </row>
    <row r="55" spans="2:11" ht="12.75" x14ac:dyDescent="0.2">
      <c r="B55" s="51" t="str">
        <f ca="1">'Fruit Trees'!A45</f>
        <v>Apple - Winesap</v>
      </c>
      <c r="C55" s="42" t="str">
        <f ca="1">'Fruit Trees'!C45</f>
        <v>#5</v>
      </c>
      <c r="D55" s="42" t="str">
        <f ca="1">'Fruit Trees'!D45</f>
        <v>0.75-1.25"</v>
      </c>
      <c r="E55" s="42" t="str">
        <f ca="1">'Fruit Trees'!E45</f>
        <v>5-11'</v>
      </c>
      <c r="F55" s="52">
        <f ca="1">'Fruit Trees'!F45</f>
        <v>128</v>
      </c>
      <c r="G55" s="53">
        <f ca="1">'Fruit Trees'!G45</f>
        <v>55</v>
      </c>
      <c r="H55" s="51" t="str">
        <f t="shared" ca="1" si="0"/>
        <v>Apple - Winesap #5</v>
      </c>
      <c r="I55" s="54"/>
      <c r="J55" s="55">
        <f t="shared" ca="1" si="1"/>
        <v>0</v>
      </c>
      <c r="K55" s="55"/>
    </row>
    <row r="56" spans="2:11" ht="12.75" x14ac:dyDescent="0.2">
      <c r="B56" s="51" t="str">
        <f ca="1">'Fruit Trees'!A46</f>
        <v>Apple - Winesap</v>
      </c>
      <c r="C56" s="42" t="str">
        <f ca="1">'Fruit Trees'!C46</f>
        <v>#10</v>
      </c>
      <c r="D56" s="42" t="str">
        <f ca="1">'Fruit Trees'!D46</f>
        <v>1-1.25"</v>
      </c>
      <c r="E56" s="42" t="str">
        <f ca="1">'Fruit Trees'!E46</f>
        <v>5-6'</v>
      </c>
      <c r="F56" s="52">
        <f ca="1">'Fruit Trees'!F46</f>
        <v>6</v>
      </c>
      <c r="G56" s="53">
        <f ca="1">'Fruit Trees'!G46</f>
        <v>100</v>
      </c>
      <c r="H56" s="51" t="str">
        <f t="shared" ca="1" si="0"/>
        <v>Apple - Winesap #10</v>
      </c>
      <c r="I56" s="54"/>
      <c r="J56" s="55">
        <f t="shared" ca="1" si="1"/>
        <v>0</v>
      </c>
      <c r="K56" s="55"/>
    </row>
    <row r="57" spans="2:11" ht="12.75" x14ac:dyDescent="0.2">
      <c r="B57" s="51" t="str">
        <f ca="1">'Fruit Trees'!A47</f>
        <v>Apple - Winesap</v>
      </c>
      <c r="C57" s="42" t="str">
        <f ca="1">'Fruit Trees'!C47</f>
        <v>#15</v>
      </c>
      <c r="D57" s="42" t="str">
        <f ca="1">'Fruit Trees'!D47</f>
        <v>1-1.25"</v>
      </c>
      <c r="E57" s="42" t="str">
        <f ca="1">'Fruit Trees'!E47</f>
        <v>9-10'</v>
      </c>
      <c r="F57" s="52">
        <f ca="1">'Fruit Trees'!F47</f>
        <v>8</v>
      </c>
      <c r="G57" s="53">
        <f ca="1">'Fruit Trees'!G47</f>
        <v>150</v>
      </c>
      <c r="H57" s="51" t="str">
        <f t="shared" ca="1" si="0"/>
        <v>Apple - Winesap #15</v>
      </c>
      <c r="I57" s="54"/>
      <c r="J57" s="55">
        <f t="shared" ca="1" si="1"/>
        <v>0</v>
      </c>
      <c r="K57" s="55"/>
    </row>
    <row r="58" spans="2:11" ht="12.75" x14ac:dyDescent="0.2">
      <c r="B58" s="51" t="str">
        <f ca="1">'Fruit Trees'!A48</f>
        <v>Apple - Wolf River</v>
      </c>
      <c r="C58" s="42" t="str">
        <f ca="1">'Fruit Trees'!C48</f>
        <v>#10</v>
      </c>
      <c r="D58" s="42" t="str">
        <f ca="1">'Fruit Trees'!D48</f>
        <v>1.25-1.25"</v>
      </c>
      <c r="E58" s="42" t="str">
        <f ca="1">'Fruit Trees'!E48</f>
        <v>10-11'</v>
      </c>
      <c r="F58" s="52">
        <f ca="1">'Fruit Trees'!F48</f>
        <v>9</v>
      </c>
      <c r="G58" s="53">
        <f ca="1">'Fruit Trees'!G48</f>
        <v>100</v>
      </c>
      <c r="H58" s="51" t="str">
        <f t="shared" ca="1" si="0"/>
        <v>Apple - Wolf River #10</v>
      </c>
      <c r="I58" s="54"/>
      <c r="J58" s="55">
        <f t="shared" ca="1" si="1"/>
        <v>0</v>
      </c>
      <c r="K58" s="55"/>
    </row>
    <row r="59" spans="2:11" ht="12.75" x14ac:dyDescent="0.2">
      <c r="B59" s="51" t="str">
        <f ca="1">'Fruit Trees'!A49</f>
        <v>Apple - Wolf River</v>
      </c>
      <c r="C59" s="42" t="str">
        <f ca="1">'Fruit Trees'!C49</f>
        <v>#5</v>
      </c>
      <c r="D59" s="42" t="str">
        <f ca="1">'Fruit Trees'!D49</f>
        <v>0.75-1"</v>
      </c>
      <c r="E59" s="42" t="str">
        <f ca="1">'Fruit Trees'!E49</f>
        <v>6-10'</v>
      </c>
      <c r="F59" s="52">
        <f ca="1">'Fruit Trees'!F49</f>
        <v>120</v>
      </c>
      <c r="G59" s="53">
        <f ca="1">'Fruit Trees'!G49</f>
        <v>55</v>
      </c>
      <c r="H59" s="51" t="str">
        <f t="shared" ca="1" si="0"/>
        <v>Apple - Wolf River #5</v>
      </c>
      <c r="I59" s="54"/>
      <c r="J59" s="55">
        <f t="shared" ca="1" si="1"/>
        <v>0</v>
      </c>
      <c r="K59" s="55"/>
    </row>
    <row r="60" spans="2:11" ht="12.75" x14ac:dyDescent="0.2">
      <c r="B60" s="51" t="str">
        <f ca="1">'Fruit Trees'!A50</f>
        <v>Apricot - Moorpark</v>
      </c>
      <c r="C60" s="42" t="str">
        <f ca="1">'Fruit Trees'!C50</f>
        <v>#5</v>
      </c>
      <c r="D60" s="42" t="str">
        <f ca="1">'Fruit Trees'!D50</f>
        <v>0.75-1"</v>
      </c>
      <c r="E60" s="42" t="str">
        <f ca="1">'Fruit Trees'!E50</f>
        <v>5-6.5'</v>
      </c>
      <c r="F60" s="52">
        <f ca="1">'Fruit Trees'!F50</f>
        <v>14</v>
      </c>
      <c r="G60" s="53">
        <f ca="1">'Fruit Trees'!G50</f>
        <v>70</v>
      </c>
      <c r="H60" s="51" t="str">
        <f t="shared" ca="1" si="0"/>
        <v>Apricot - Moorpark #5</v>
      </c>
      <c r="I60" s="54"/>
      <c r="J60" s="55">
        <f t="shared" ca="1" si="1"/>
        <v>0</v>
      </c>
      <c r="K60" s="55"/>
    </row>
    <row r="61" spans="2:11" ht="12.75" x14ac:dyDescent="0.2">
      <c r="B61" s="51" t="str">
        <f ca="1">'Fruit Trees'!A51</f>
        <v>Asian Pear - Hosui</v>
      </c>
      <c r="C61" s="42" t="str">
        <f ca="1">'Fruit Trees'!C51</f>
        <v>#7</v>
      </c>
      <c r="D61" s="42" t="str">
        <f ca="1">'Fruit Trees'!D51</f>
        <v>1-1.25"</v>
      </c>
      <c r="E61" s="42" t="str">
        <f ca="1">'Fruit Trees'!E51</f>
        <v>8.5-10'</v>
      </c>
      <c r="F61" s="52">
        <f ca="1">'Fruit Trees'!F51</f>
        <v>3</v>
      </c>
      <c r="G61" s="53">
        <f ca="1">'Fruit Trees'!G51</f>
        <v>80</v>
      </c>
      <c r="H61" s="51" t="str">
        <f t="shared" ca="1" si="0"/>
        <v>Asian Pear - Hosui #7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Trees'!A52</f>
        <v>Asian Pear - Kosui</v>
      </c>
      <c r="C62" s="42" t="str">
        <f ca="1">'Fruit Trees'!C52</f>
        <v>#7</v>
      </c>
      <c r="D62" s="42" t="str">
        <f ca="1">'Fruit Trees'!D52</f>
        <v>0.75-1.5"</v>
      </c>
      <c r="E62" s="42" t="str">
        <f ca="1">'Fruit Trees'!E52</f>
        <v>6-11'</v>
      </c>
      <c r="F62" s="52">
        <f ca="1">'Fruit Trees'!F52</f>
        <v>73</v>
      </c>
      <c r="G62" s="53">
        <f ca="1">'Fruit Trees'!G52</f>
        <v>80</v>
      </c>
      <c r="H62" s="51" t="str">
        <f t="shared" ca="1" si="0"/>
        <v>Asian Pear - Kosui #7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Trees'!A53</f>
        <v>Asian Pear - Olympic</v>
      </c>
      <c r="C63" s="42" t="str">
        <f ca="1">'Fruit Trees'!C53</f>
        <v>#5</v>
      </c>
      <c r="D63" s="42" t="str">
        <f ca="1">'Fruit Trees'!D53</f>
        <v>0.5-1"</v>
      </c>
      <c r="E63" s="42" t="str">
        <f ca="1">'Fruit Trees'!E53</f>
        <v>6-8'</v>
      </c>
      <c r="F63" s="52">
        <f ca="1">'Fruit Trees'!F53</f>
        <v>38</v>
      </c>
      <c r="G63" s="53">
        <f ca="1">'Fruit Trees'!G53</f>
        <v>55</v>
      </c>
      <c r="H63" s="51" t="str">
        <f t="shared" ca="1" si="0"/>
        <v>Asian Pear - Olympic #5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Trees'!A54</f>
        <v>Asian Pear - Olympic</v>
      </c>
      <c r="C64" s="42" t="str">
        <f ca="1">'Fruit Trees'!C54</f>
        <v>#7</v>
      </c>
      <c r="D64" s="42" t="str">
        <f ca="1">'Fruit Trees'!D54</f>
        <v>1-1.5"</v>
      </c>
      <c r="E64" s="42" t="str">
        <f ca="1">'Fruit Trees'!E54</f>
        <v>6-11'</v>
      </c>
      <c r="F64" s="52">
        <f ca="1">'Fruit Trees'!F54</f>
        <v>116</v>
      </c>
      <c r="G64" s="53">
        <f ca="1">'Fruit Trees'!G54</f>
        <v>80</v>
      </c>
      <c r="H64" s="51" t="str">
        <f t="shared" ca="1" si="0"/>
        <v>Asian Pear - Olympic #7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Trees'!A55</f>
        <v>Asian Pear - Shinko</v>
      </c>
      <c r="C65" s="42" t="str">
        <f ca="1">'Fruit Trees'!C55</f>
        <v>#5</v>
      </c>
      <c r="D65" s="42" t="str">
        <f ca="1">'Fruit Trees'!D55</f>
        <v>0.5-1.25"</v>
      </c>
      <c r="E65" s="42" t="str">
        <f ca="1">'Fruit Trees'!E55</f>
        <v>6-9'</v>
      </c>
      <c r="F65" s="52">
        <f ca="1">'Fruit Trees'!F55</f>
        <v>59</v>
      </c>
      <c r="G65" s="53">
        <f ca="1">'Fruit Trees'!G55</f>
        <v>55</v>
      </c>
      <c r="H65" s="51" t="str">
        <f t="shared" ca="1" si="0"/>
        <v>Asian Pear - Shinko #5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Trees'!A56</f>
        <v>Asian Pear - Shinko</v>
      </c>
      <c r="C66" s="42" t="str">
        <f ca="1">'Fruit Trees'!C56</f>
        <v>#7</v>
      </c>
      <c r="D66" s="42" t="str">
        <f ca="1">'Fruit Trees'!D56</f>
        <v>0.75-1.25"</v>
      </c>
      <c r="E66" s="42" t="str">
        <f ca="1">'Fruit Trees'!E56</f>
        <v>6.5-11'</v>
      </c>
      <c r="F66" s="52">
        <f ca="1">'Fruit Trees'!F56</f>
        <v>32</v>
      </c>
      <c r="G66" s="53">
        <f ca="1">'Fruit Trees'!G56</f>
        <v>80</v>
      </c>
      <c r="H66" s="51" t="str">
        <f t="shared" ca="1" si="0"/>
        <v>Asian Pear - Shinko #7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Trees'!A57</f>
        <v>Asian Pear - Shinseiki</v>
      </c>
      <c r="C67" s="42" t="str">
        <f ca="1">'Fruit Trees'!C57</f>
        <v>#5</v>
      </c>
      <c r="D67" s="42" t="str">
        <f ca="1">'Fruit Trees'!D57</f>
        <v>0.5-0.75"</v>
      </c>
      <c r="E67" s="42" t="str">
        <f ca="1">'Fruit Trees'!E57</f>
        <v>6-7'</v>
      </c>
      <c r="F67" s="52">
        <f ca="1">'Fruit Trees'!F57</f>
        <v>88</v>
      </c>
      <c r="G67" s="53">
        <f ca="1">'Fruit Trees'!G57</f>
        <v>55</v>
      </c>
      <c r="H67" s="51" t="str">
        <f t="shared" ca="1" si="0"/>
        <v>Asian Pear - Shinseiki #5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Trees'!A58</f>
        <v>Black Chokeberry</v>
      </c>
      <c r="C68" s="42" t="str">
        <f ca="1">'Fruit Trees'!C58</f>
        <v>#5</v>
      </c>
      <c r="D68" s="42" t="str">
        <f ca="1">'Fruit Trees'!D58</f>
        <v>Multi</v>
      </c>
      <c r="E68" s="42" t="str">
        <f ca="1">'Fruit Trees'!E58</f>
        <v>2.5-3'</v>
      </c>
      <c r="F68" s="52">
        <f ca="1">'Fruit Trees'!F58</f>
        <v>14</v>
      </c>
      <c r="G68" s="53">
        <f ca="1">'Fruit Trees'!G58</f>
        <v>37</v>
      </c>
      <c r="H68" s="51" t="str">
        <f t="shared" ca="1" si="0"/>
        <v>Black Chokeberry #5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Trees'!A59</f>
        <v>Blackberry - Arapaho</v>
      </c>
      <c r="C69" s="42" t="str">
        <f ca="1">'Fruit Trees'!C59</f>
        <v>#5</v>
      </c>
      <c r="D69" s="42" t="str">
        <f ca="1">'Fruit Trees'!D59</f>
        <v>Vine</v>
      </c>
      <c r="E69" s="42" t="str">
        <f ca="1">'Fruit Trees'!E59</f>
        <v>0.5-0.5'</v>
      </c>
      <c r="F69" s="52">
        <f ca="1">'Fruit Trees'!F59</f>
        <v>143</v>
      </c>
      <c r="G69" s="53">
        <f ca="1">'Fruit Trees'!G59</f>
        <v>35</v>
      </c>
      <c r="H69" s="51" t="str">
        <f t="shared" ca="1" si="0"/>
        <v>Blackberry - Arapaho #5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Trees'!A60</f>
        <v>Blackberry - Navajo</v>
      </c>
      <c r="C70" s="42" t="str">
        <f ca="1">'Fruit Trees'!C60</f>
        <v>#5</v>
      </c>
      <c r="D70" s="42" t="str">
        <f ca="1">'Fruit Trees'!D60</f>
        <v>Multi</v>
      </c>
      <c r="E70" s="42" t="str">
        <f ca="1">'Fruit Trees'!E60</f>
        <v>2-3'</v>
      </c>
      <c r="F70" s="52">
        <f ca="1">'Fruit Trees'!F60</f>
        <v>41</v>
      </c>
      <c r="G70" s="53">
        <f ca="1">'Fruit Trees'!G60</f>
        <v>35</v>
      </c>
      <c r="H70" s="51" t="str">
        <f t="shared" ca="1" si="0"/>
        <v>Blackberry - Navajo #5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Trees'!A61</f>
        <v>Blackberry - Ouachita</v>
      </c>
      <c r="C71" s="42" t="str">
        <f ca="1">'Fruit Trees'!C61</f>
        <v>#5</v>
      </c>
      <c r="D71" s="42" t="str">
        <f ca="1">'Fruit Trees'!D61</f>
        <v>Vine</v>
      </c>
      <c r="E71" s="42" t="str">
        <f ca="1">'Fruit Trees'!E61</f>
        <v>3-5'</v>
      </c>
      <c r="F71" s="52">
        <f ca="1">'Fruit Trees'!F61</f>
        <v>29</v>
      </c>
      <c r="G71" s="53">
        <f ca="1">'Fruit Trees'!G61</f>
        <v>35</v>
      </c>
      <c r="H71" s="51" t="str">
        <f t="shared" ca="1" si="0"/>
        <v>Blackberry - Ouachita #5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Trees'!A62</f>
        <v>Blackberry - Prime-ark 'Freedom'</v>
      </c>
      <c r="C72" s="42" t="str">
        <f ca="1">'Fruit Trees'!C62</f>
        <v>#5</v>
      </c>
      <c r="D72" s="42" t="str">
        <f ca="1">'Fruit Trees'!D62</f>
        <v>Vine</v>
      </c>
      <c r="E72" s="42" t="str">
        <f ca="1">'Fruit Trees'!E62</f>
        <v>2-3'</v>
      </c>
      <c r="F72" s="52">
        <f ca="1">'Fruit Trees'!F62</f>
        <v>50</v>
      </c>
      <c r="G72" s="53">
        <f ca="1">'Fruit Trees'!G62</f>
        <v>35</v>
      </c>
      <c r="H72" s="51" t="str">
        <f t="shared" ca="1" si="0"/>
        <v>Blackberry - Prime-ark 'Freedom' #5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Trees'!A63</f>
        <v>Blueberry - Blue Crop</v>
      </c>
      <c r="C73" s="42" t="str">
        <f ca="1">'Fruit Trees'!C63</f>
        <v>#3p</v>
      </c>
      <c r="D73" s="42" t="str">
        <f ca="1">'Fruit Trees'!D63</f>
        <v>Multi</v>
      </c>
      <c r="E73" s="42" t="str">
        <f ca="1">'Fruit Trees'!E63</f>
        <v>2.5-3'</v>
      </c>
      <c r="F73" s="52">
        <f ca="1">'Fruit Trees'!F63</f>
        <v>3</v>
      </c>
      <c r="G73" s="53">
        <f ca="1">'Fruit Trees'!G63</f>
        <v>35</v>
      </c>
      <c r="H73" s="51" t="str">
        <f t="shared" ca="1" si="0"/>
        <v>Blueberry - Blue Crop #3p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Trees'!A64</f>
        <v>Cherry (Sour) - Montmorency</v>
      </c>
      <c r="C74" s="42" t="str">
        <f ca="1">'Fruit Trees'!C64</f>
        <v>#5</v>
      </c>
      <c r="D74" s="42" t="str">
        <f ca="1">'Fruit Trees'!D64</f>
        <v>0.75-1.25"</v>
      </c>
      <c r="E74" s="42" t="str">
        <f ca="1">'Fruit Trees'!E64</f>
        <v>5.5-8'</v>
      </c>
      <c r="F74" s="52">
        <f ca="1">'Fruit Trees'!F64</f>
        <v>1</v>
      </c>
      <c r="G74" s="53">
        <f ca="1">'Fruit Trees'!G64</f>
        <v>80</v>
      </c>
      <c r="H74" s="51" t="str">
        <f t="shared" ca="1" si="0"/>
        <v>Cherry (Sour) - Montmorency #5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Trees'!A65</f>
        <v>Chestnut - Chinese</v>
      </c>
      <c r="C75" s="42" t="str">
        <f ca="1">'Fruit Trees'!C65</f>
        <v>#5</v>
      </c>
      <c r="D75" s="42" t="str">
        <f ca="1">'Fruit Trees'!D65</f>
        <v>0.25-1.25"</v>
      </c>
      <c r="E75" s="42" t="str">
        <f ca="1">'Fruit Trees'!E65</f>
        <v>4-10'</v>
      </c>
      <c r="F75" s="52">
        <f ca="1">'Fruit Trees'!F65</f>
        <v>204</v>
      </c>
      <c r="G75" s="53">
        <f ca="1">'Fruit Trees'!G65</f>
        <v>55</v>
      </c>
      <c r="H75" s="51" t="str">
        <f t="shared" ca="1" si="0"/>
        <v>Chestnut - Chinese #5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Trees'!A66</f>
        <v>Currant - Rovada Red</v>
      </c>
      <c r="C76" s="42" t="str">
        <f ca="1">'Fruit Trees'!C66</f>
        <v>#5</v>
      </c>
      <c r="D76" s="42" t="str">
        <f ca="1">'Fruit Trees'!D66</f>
        <v>Multi</v>
      </c>
      <c r="E76" s="42" t="str">
        <f ca="1">'Fruit Trees'!E66</f>
        <v>1-2'</v>
      </c>
      <c r="F76" s="52">
        <f ca="1">'Fruit Trees'!F66</f>
        <v>80</v>
      </c>
      <c r="G76" s="53">
        <f ca="1">'Fruit Trees'!G66</f>
        <v>45</v>
      </c>
      <c r="H76" s="51" t="str">
        <f t="shared" ca="1" si="0"/>
        <v>Currant - Rovada Red #5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Trees'!A67</f>
        <v>Elderberry</v>
      </c>
      <c r="C77" s="42" t="str">
        <f ca="1">'Fruit Trees'!C67</f>
        <v>#5</v>
      </c>
      <c r="D77" s="42" t="str">
        <f ca="1">'Fruit Trees'!D67</f>
        <v>Multi</v>
      </c>
      <c r="E77" s="42" t="str">
        <f ca="1">'Fruit Trees'!E67</f>
        <v>1-5'</v>
      </c>
      <c r="F77" s="52">
        <f ca="1">'Fruit Trees'!F67</f>
        <v>163</v>
      </c>
      <c r="G77" s="53">
        <f ca="1">'Fruit Trees'!G67</f>
        <v>35</v>
      </c>
      <c r="H77" s="51" t="str">
        <f t="shared" ca="1" si="0"/>
        <v>Elderberry #5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Trees'!A68</f>
        <v>Elderberry - Pocahontas</v>
      </c>
      <c r="C78" s="42" t="str">
        <f ca="1">'Fruit Trees'!C68</f>
        <v>#5</v>
      </c>
      <c r="D78" s="42" t="str">
        <f ca="1">'Fruit Trees'!D68</f>
        <v>Multi</v>
      </c>
      <c r="E78" s="42" t="str">
        <f ca="1">'Fruit Trees'!E68</f>
        <v>1.5-4'</v>
      </c>
      <c r="F78" s="52">
        <f ca="1">'Fruit Trees'!F68</f>
        <v>27</v>
      </c>
      <c r="G78" s="53">
        <f ca="1">'Fruit Trees'!G68</f>
        <v>35</v>
      </c>
      <c r="H78" s="51" t="str">
        <f t="shared" ca="1" si="0"/>
        <v>Elderberry - Pocahontas #5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Trees'!A69</f>
        <v>Elderberry - York</v>
      </c>
      <c r="C79" s="42" t="str">
        <f ca="1">'Fruit Trees'!C69</f>
        <v>#5</v>
      </c>
      <c r="D79" s="42" t="str">
        <f ca="1">'Fruit Trees'!D69</f>
        <v>Multi</v>
      </c>
      <c r="E79" s="42" t="str">
        <f ca="1">'Fruit Trees'!E69</f>
        <v>3-5'</v>
      </c>
      <c r="F79" s="52">
        <f ca="1">'Fruit Trees'!F69</f>
        <v>141</v>
      </c>
      <c r="G79" s="53">
        <f ca="1">'Fruit Trees'!G69</f>
        <v>35</v>
      </c>
      <c r="H79" s="51" t="str">
        <f t="shared" ca="1" si="0"/>
        <v>Elderberry - York #5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Trees'!A70</f>
        <v>Fig - Black Mission</v>
      </c>
      <c r="C80" s="42" t="str">
        <f ca="1">'Fruit Trees'!C70</f>
        <v>#5</v>
      </c>
      <c r="D80" s="42" t="str">
        <f ca="1">'Fruit Trees'!D70</f>
        <v>Multi</v>
      </c>
      <c r="E80" s="42" t="str">
        <f ca="1">'Fruit Trees'!E70</f>
        <v>0.5-3'</v>
      </c>
      <c r="F80" s="52">
        <f ca="1">'Fruit Trees'!F70</f>
        <v>92</v>
      </c>
      <c r="G80" s="53">
        <f ca="1">'Fruit Trees'!G70</f>
        <v>35</v>
      </c>
      <c r="H80" s="51" t="str">
        <f t="shared" ca="1" si="0"/>
        <v>Fig - Black Mission #5</v>
      </c>
      <c r="I80" s="54"/>
      <c r="J80" s="55">
        <f t="shared" ca="1" si="1"/>
        <v>0</v>
      </c>
      <c r="K80" s="55"/>
    </row>
    <row r="81" spans="2:11" ht="12.75" x14ac:dyDescent="0.2">
      <c r="B81" s="51" t="str">
        <f ca="1">'Fruit Trees'!A71</f>
        <v>Fig - Brown Turkey</v>
      </c>
      <c r="C81" s="42" t="str">
        <f ca="1">'Fruit Trees'!C71</f>
        <v>#5</v>
      </c>
      <c r="D81" s="42" t="str">
        <f ca="1">'Fruit Trees'!D71</f>
        <v>Multi</v>
      </c>
      <c r="E81" s="42" t="str">
        <f ca="1">'Fruit Trees'!E71</f>
        <v>1-2'</v>
      </c>
      <c r="F81" s="52">
        <f ca="1">'Fruit Trees'!F71</f>
        <v>21</v>
      </c>
      <c r="G81" s="53">
        <f ca="1">'Fruit Trees'!G71</f>
        <v>35</v>
      </c>
      <c r="H81" s="51" t="str">
        <f t="shared" ca="1" si="0"/>
        <v>Fig - Brown Turkey #5</v>
      </c>
      <c r="I81" s="54"/>
      <c r="J81" s="55">
        <f t="shared" ca="1" si="1"/>
        <v>0</v>
      </c>
      <c r="K81" s="55"/>
    </row>
    <row r="82" spans="2:11" ht="12.75" x14ac:dyDescent="0.2">
      <c r="B82" s="51" t="str">
        <f ca="1">'Fruit Trees'!A72</f>
        <v>Fig - Celeste</v>
      </c>
      <c r="C82" s="42" t="str">
        <f ca="1">'Fruit Trees'!C72</f>
        <v>#5</v>
      </c>
      <c r="D82" s="42" t="str">
        <f ca="1">'Fruit Trees'!D72</f>
        <v>0.25-0.25"</v>
      </c>
      <c r="E82" s="42" t="str">
        <f ca="1">'Fruit Trees'!E72</f>
        <v>0.25-3'</v>
      </c>
      <c r="F82" s="52">
        <f ca="1">'Fruit Trees'!F72</f>
        <v>55</v>
      </c>
      <c r="G82" s="53">
        <f ca="1">'Fruit Trees'!G72</f>
        <v>35</v>
      </c>
      <c r="H82" s="51" t="str">
        <f t="shared" ca="1" si="0"/>
        <v>Fig - Celeste #5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Trees'!A73</f>
        <v>Fig - Celeste</v>
      </c>
      <c r="C83" s="42" t="str">
        <f ca="1">'Fruit Trees'!C73</f>
        <v>#5</v>
      </c>
      <c r="D83" s="42" t="str">
        <f ca="1">'Fruit Trees'!D73</f>
        <v>Multi</v>
      </c>
      <c r="E83" s="42" t="str">
        <f ca="1">'Fruit Trees'!E73</f>
        <v>0.25-3'</v>
      </c>
      <c r="F83" s="52">
        <f ca="1">'Fruit Trees'!F73</f>
        <v>32</v>
      </c>
      <c r="G83" s="53">
        <f ca="1">'Fruit Trees'!G73</f>
        <v>35</v>
      </c>
      <c r="H83" s="51" t="str">
        <f t="shared" ca="1" si="0"/>
        <v>Fig - Celeste #5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Trees'!A74</f>
        <v>Fig - Chicago Hardy</v>
      </c>
      <c r="C84" s="42" t="str">
        <f ca="1">'Fruit Trees'!C74</f>
        <v>#5</v>
      </c>
      <c r="D84" s="42" t="str">
        <f ca="1">'Fruit Trees'!D74</f>
        <v>Multi</v>
      </c>
      <c r="E84" s="42" t="str">
        <f ca="1">'Fruit Trees'!E74</f>
        <v>2-4'</v>
      </c>
      <c r="F84" s="52">
        <f ca="1">'Fruit Trees'!F74</f>
        <v>187</v>
      </c>
      <c r="G84" s="53">
        <f ca="1">'Fruit Trees'!G74</f>
        <v>35</v>
      </c>
      <c r="H84" s="51" t="str">
        <f t="shared" ca="1" si="0"/>
        <v>Fig - Chicago Hardy #5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Trees'!A75</f>
        <v>Fig - Fignomenal</v>
      </c>
      <c r="C85" s="42" t="str">
        <f ca="1">'Fruit Trees'!C75</f>
        <v>#5</v>
      </c>
      <c r="D85" s="42" t="str">
        <f ca="1">'Fruit Trees'!D75</f>
        <v>Multi</v>
      </c>
      <c r="E85" s="42" t="str">
        <f ca="1">'Fruit Trees'!E75</f>
        <v>0.5-1'</v>
      </c>
      <c r="F85" s="52">
        <f ca="1">'Fruit Trees'!F75</f>
        <v>60</v>
      </c>
      <c r="G85" s="53">
        <f ca="1">'Fruit Trees'!G75</f>
        <v>35</v>
      </c>
      <c r="H85" s="51" t="str">
        <f t="shared" ca="1" si="0"/>
        <v>Fig - Fignomenal #5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Trees'!A76</f>
        <v>Fig - Italian Honey</v>
      </c>
      <c r="C86" s="42" t="str">
        <f ca="1">'Fruit Trees'!C76</f>
        <v>#5</v>
      </c>
      <c r="D86" s="42" t="str">
        <f ca="1">'Fruit Trees'!D76</f>
        <v>Multi</v>
      </c>
      <c r="E86" s="42" t="str">
        <f ca="1">'Fruit Trees'!E76</f>
        <v>1.5-2.5'</v>
      </c>
      <c r="F86" s="52">
        <f ca="1">'Fruit Trees'!F76</f>
        <v>12</v>
      </c>
      <c r="G86" s="53">
        <f ca="1">'Fruit Trees'!G76</f>
        <v>35</v>
      </c>
      <c r="H86" s="51" t="str">
        <f t="shared" ca="1" si="0"/>
        <v>Fig - Italian Honey #5</v>
      </c>
      <c r="I86" s="54"/>
      <c r="J86" s="55">
        <f t="shared" ca="1" si="1"/>
        <v>0</v>
      </c>
      <c r="K86" s="55"/>
    </row>
    <row r="87" spans="2:11" ht="12.75" x14ac:dyDescent="0.2">
      <c r="B87" s="51" t="str">
        <f ca="1">'Fruit Trees'!A77</f>
        <v>Fig - Olympian</v>
      </c>
      <c r="C87" s="42" t="str">
        <f ca="1">'Fruit Trees'!C77</f>
        <v>#5</v>
      </c>
      <c r="D87" s="42" t="str">
        <f ca="1">'Fruit Trees'!D77</f>
        <v>Multi</v>
      </c>
      <c r="E87" s="42" t="str">
        <f ca="1">'Fruit Trees'!E77</f>
        <v>0.25-0.5'</v>
      </c>
      <c r="F87" s="52">
        <f ca="1">'Fruit Trees'!F77</f>
        <v>52</v>
      </c>
      <c r="G87" s="53">
        <f ca="1">'Fruit Trees'!G77</f>
        <v>35</v>
      </c>
      <c r="H87" s="51" t="str">
        <f t="shared" ca="1" si="0"/>
        <v>Fig - Olympian #5</v>
      </c>
      <c r="I87" s="54"/>
      <c r="J87" s="55">
        <f t="shared" ca="1" si="1"/>
        <v>0</v>
      </c>
      <c r="K87" s="55"/>
    </row>
    <row r="88" spans="2:11" ht="12.75" x14ac:dyDescent="0.2">
      <c r="B88" s="51" t="str">
        <f ca="1">'Fruit Trees'!A78</f>
        <v>Goji Berry</v>
      </c>
      <c r="C88" s="42" t="str">
        <f ca="1">'Fruit Trees'!C78</f>
        <v>#5</v>
      </c>
      <c r="D88" s="42" t="str">
        <f ca="1">'Fruit Trees'!D78</f>
        <v>Multi</v>
      </c>
      <c r="E88" s="42" t="str">
        <f ca="1">'Fruit Trees'!E78</f>
        <v>0.5-0.5'</v>
      </c>
      <c r="F88" s="52">
        <f ca="1">'Fruit Trees'!F78</f>
        <v>38</v>
      </c>
      <c r="G88" s="53">
        <f ca="1">'Fruit Trees'!G78</f>
        <v>35</v>
      </c>
      <c r="H88" s="51" t="str">
        <f t="shared" ca="1" si="0"/>
        <v>Goji Berry #5</v>
      </c>
      <c r="I88" s="54"/>
      <c r="J88" s="55">
        <f t="shared" ca="1" si="1"/>
        <v>0</v>
      </c>
      <c r="K88" s="55"/>
    </row>
    <row r="89" spans="2:11" ht="12.75" x14ac:dyDescent="0.2">
      <c r="B89" s="51" t="str">
        <f ca="1">'Fruit Trees'!A79</f>
        <v>Gooseberry - Hinnomaki Red</v>
      </c>
      <c r="C89" s="42" t="str">
        <f ca="1">'Fruit Trees'!C79</f>
        <v>#5</v>
      </c>
      <c r="D89" s="42" t="str">
        <f ca="1">'Fruit Trees'!D79</f>
        <v>Multi</v>
      </c>
      <c r="E89" s="42" t="str">
        <f ca="1">'Fruit Trees'!E79</f>
        <v>1-2'</v>
      </c>
      <c r="F89" s="52">
        <f ca="1">'Fruit Trees'!F79</f>
        <v>120</v>
      </c>
      <c r="G89" s="53">
        <f ca="1">'Fruit Trees'!G79</f>
        <v>45</v>
      </c>
      <c r="H89" s="51" t="str">
        <f t="shared" ca="1" si="0"/>
        <v>Gooseberry - Hinnomaki Red #5</v>
      </c>
      <c r="I89" s="54"/>
      <c r="J89" s="55">
        <f t="shared" ca="1" si="1"/>
        <v>0</v>
      </c>
      <c r="K89" s="55"/>
    </row>
    <row r="90" spans="2:11" ht="12.75" x14ac:dyDescent="0.2">
      <c r="B90" s="51" t="str">
        <f ca="1">'Fruit Trees'!A80</f>
        <v>Gooseberry - Invicta Green</v>
      </c>
      <c r="C90" s="42" t="str">
        <f ca="1">'Fruit Trees'!C80</f>
        <v>#5</v>
      </c>
      <c r="D90" s="42" t="str">
        <f ca="1">'Fruit Trees'!D80</f>
        <v>Vine</v>
      </c>
      <c r="E90" s="42" t="str">
        <f ca="1">'Fruit Trees'!E80</f>
        <v>1-1.5'</v>
      </c>
      <c r="F90" s="52">
        <f ca="1">'Fruit Trees'!F80</f>
        <v>121</v>
      </c>
      <c r="G90" s="53">
        <f ca="1">'Fruit Trees'!G80</f>
        <v>45</v>
      </c>
      <c r="H90" s="51" t="str">
        <f t="shared" ca="1" si="0"/>
        <v>Gooseberry - Invicta Green #5</v>
      </c>
      <c r="I90" s="54"/>
      <c r="J90" s="55">
        <f t="shared" ca="1" si="1"/>
        <v>0</v>
      </c>
      <c r="K90" s="55"/>
    </row>
    <row r="91" spans="2:11" ht="12.75" x14ac:dyDescent="0.2">
      <c r="B91" s="51" t="str">
        <f ca="1">'Fruit Trees'!A81</f>
        <v>Grape - Concord</v>
      </c>
      <c r="C91" s="42" t="str">
        <f ca="1">'Fruit Trees'!C81</f>
        <v>#5</v>
      </c>
      <c r="D91" s="42" t="str">
        <f ca="1">'Fruit Trees'!D81</f>
        <v>Vine</v>
      </c>
      <c r="E91" s="42" t="str">
        <f ca="1">'Fruit Trees'!E81</f>
        <v>1-3'</v>
      </c>
      <c r="F91" s="52">
        <f ca="1">'Fruit Trees'!F81</f>
        <v>26</v>
      </c>
      <c r="G91" s="53">
        <f ca="1">'Fruit Trees'!G81</f>
        <v>50</v>
      </c>
      <c r="H91" s="51" t="str">
        <f t="shared" ca="1" si="0"/>
        <v>Grape - Concord #5</v>
      </c>
      <c r="I91" s="54"/>
      <c r="J91" s="55">
        <f t="shared" ca="1" si="1"/>
        <v>0</v>
      </c>
      <c r="K91" s="55"/>
    </row>
    <row r="92" spans="2:11" ht="12.75" x14ac:dyDescent="0.2">
      <c r="B92" s="51" t="str">
        <f ca="1">'Fruit Trees'!A82</f>
        <v>Grape - Mars (Seedless)</v>
      </c>
      <c r="C92" s="42" t="str">
        <f ca="1">'Fruit Trees'!C82</f>
        <v>#5</v>
      </c>
      <c r="D92" s="42" t="str">
        <f ca="1">'Fruit Trees'!D82</f>
        <v>Vine</v>
      </c>
      <c r="E92" s="42" t="str">
        <f ca="1">'Fruit Trees'!E82</f>
        <v>4-5'</v>
      </c>
      <c r="F92" s="52">
        <f ca="1">'Fruit Trees'!F82</f>
        <v>32</v>
      </c>
      <c r="G92" s="53">
        <f ca="1">'Fruit Trees'!G82</f>
        <v>37</v>
      </c>
      <c r="H92" s="51" t="str">
        <f t="shared" ca="1" si="0"/>
        <v>Grape - Mars (Seedless) #5</v>
      </c>
      <c r="I92" s="54"/>
      <c r="J92" s="55">
        <f t="shared" ca="1" si="1"/>
        <v>0</v>
      </c>
      <c r="K92" s="55"/>
    </row>
    <row r="93" spans="2:11" ht="12.75" x14ac:dyDescent="0.2">
      <c r="B93" s="51" t="str">
        <f ca="1">'Fruit Trees'!A83</f>
        <v>Grape - Reliance Red (Seedless)</v>
      </c>
      <c r="C93" s="42" t="str">
        <f ca="1">'Fruit Trees'!C83</f>
        <v>#5</v>
      </c>
      <c r="D93" s="42" t="str">
        <f ca="1">'Fruit Trees'!D83</f>
        <v>Vine</v>
      </c>
      <c r="E93" s="42" t="str">
        <f ca="1">'Fruit Trees'!E83</f>
        <v>3-5'</v>
      </c>
      <c r="F93" s="52">
        <f ca="1">'Fruit Trees'!F83</f>
        <v>34</v>
      </c>
      <c r="G93" s="53">
        <f ca="1">'Fruit Trees'!G83</f>
        <v>37</v>
      </c>
      <c r="H93" s="51" t="str">
        <f t="shared" ca="1" si="0"/>
        <v>Grape - Reliance Red (Seedless) #5</v>
      </c>
      <c r="I93" s="54"/>
      <c r="J93" s="55">
        <f t="shared" ca="1" si="1"/>
        <v>0</v>
      </c>
      <c r="K93" s="55"/>
    </row>
    <row r="94" spans="2:11" ht="12.75" x14ac:dyDescent="0.2">
      <c r="B94" s="51" t="str">
        <f ca="1">'Fruit Trees'!A84</f>
        <v>Grape- Himrod (Seedless)</v>
      </c>
      <c r="C94" s="42" t="str">
        <f ca="1">'Fruit Trees'!C84</f>
        <v>#5</v>
      </c>
      <c r="D94" s="42" t="str">
        <f ca="1">'Fruit Trees'!D84</f>
        <v>Vine</v>
      </c>
      <c r="E94" s="42" t="str">
        <f ca="1">'Fruit Trees'!E84</f>
        <v>3-4'</v>
      </c>
      <c r="F94" s="52">
        <f ca="1">'Fruit Trees'!F84</f>
        <v>32</v>
      </c>
      <c r="G94" s="53">
        <f ca="1">'Fruit Trees'!G84</f>
        <v>37</v>
      </c>
      <c r="H94" s="51" t="str">
        <f t="shared" ca="1" si="0"/>
        <v>Grape- Himrod (Seedless) #5</v>
      </c>
      <c r="I94" s="54"/>
      <c r="J94" s="55">
        <f t="shared" ca="1" si="1"/>
        <v>0</v>
      </c>
      <c r="K94" s="55"/>
    </row>
    <row r="95" spans="2:11" ht="12.75" x14ac:dyDescent="0.2">
      <c r="B95" s="51" t="str">
        <f ca="1">'Fruit Trees'!A85</f>
        <v>Hazelnut - Jefferson</v>
      </c>
      <c r="C95" s="42" t="str">
        <f ca="1">'Fruit Trees'!C85</f>
        <v>#15</v>
      </c>
      <c r="D95" s="42" t="str">
        <f ca="1">'Fruit Trees'!D85</f>
        <v>1-1.25"</v>
      </c>
      <c r="E95" s="42" t="str">
        <f ca="1">'Fruit Trees'!E85</f>
        <v>7-9'</v>
      </c>
      <c r="F95" s="52">
        <f ca="1">'Fruit Trees'!F85</f>
        <v>12</v>
      </c>
      <c r="G95" s="53">
        <f ca="1">'Fruit Trees'!G85</f>
        <v>135</v>
      </c>
      <c r="H95" s="51" t="str">
        <f t="shared" ca="1" si="0"/>
        <v>Hazelnut - Jefferson #15</v>
      </c>
      <c r="I95" s="54"/>
      <c r="J95" s="55">
        <f t="shared" ca="1" si="1"/>
        <v>0</v>
      </c>
      <c r="K95" s="55"/>
    </row>
    <row r="96" spans="2:11" ht="12.75" x14ac:dyDescent="0.2">
      <c r="B96" s="51" t="str">
        <f ca="1">'Fruit Trees'!A86</f>
        <v xml:space="preserve">Hazelnut - McDonald </v>
      </c>
      <c r="C96" s="42" t="str">
        <f ca="1">'Fruit Trees'!C86</f>
        <v>#15</v>
      </c>
      <c r="D96" s="42" t="str">
        <f ca="1">'Fruit Trees'!D86</f>
        <v>1.25-1.5"</v>
      </c>
      <c r="E96" s="42" t="str">
        <f ca="1">'Fruit Trees'!E86</f>
        <v>9-10'</v>
      </c>
      <c r="F96" s="52">
        <f ca="1">'Fruit Trees'!F86</f>
        <v>18</v>
      </c>
      <c r="G96" s="53">
        <f ca="1">'Fruit Trees'!G86</f>
        <v>135</v>
      </c>
      <c r="H96" s="51" t="str">
        <f t="shared" ca="1" si="0"/>
        <v>Hazelnut - McDonald  #15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Trees'!A87</f>
        <v xml:space="preserve">Hazelnut - Wepster </v>
      </c>
      <c r="C97" s="42" t="str">
        <f ca="1">'Fruit Trees'!C87</f>
        <v>#15</v>
      </c>
      <c r="D97" s="42" t="str">
        <f ca="1">'Fruit Trees'!D87</f>
        <v>0.75-1"</v>
      </c>
      <c r="E97" s="42" t="str">
        <f ca="1">'Fruit Trees'!E87</f>
        <v>5-7'</v>
      </c>
      <c r="F97" s="52">
        <f ca="1">'Fruit Trees'!F87</f>
        <v>16</v>
      </c>
      <c r="G97" s="53">
        <f ca="1">'Fruit Trees'!G87</f>
        <v>135</v>
      </c>
      <c r="H97" s="51" t="str">
        <f t="shared" ca="1" si="0"/>
        <v>Hazelnut - Wepster  #15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Trees'!A88</f>
        <v>Jujube - GA 866</v>
      </c>
      <c r="C98" s="42" t="str">
        <f ca="1">'Fruit Trees'!C88</f>
        <v>#5</v>
      </c>
      <c r="D98" s="42" t="str">
        <f ca="1">'Fruit Trees'!D88</f>
        <v>0.75-1"</v>
      </c>
      <c r="E98" s="42" t="str">
        <f ca="1">'Fruit Trees'!E88</f>
        <v>4.5-10'</v>
      </c>
      <c r="F98" s="52">
        <f ca="1">'Fruit Trees'!F88</f>
        <v>212</v>
      </c>
      <c r="G98" s="53">
        <f ca="1">'Fruit Trees'!G88</f>
        <v>100</v>
      </c>
      <c r="H98" s="51" t="str">
        <f t="shared" ca="1" si="0"/>
        <v>Jujube - GA 866 #5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Trees'!A89</f>
        <v>Jujube - GA 866</v>
      </c>
      <c r="C99" s="42" t="str">
        <f ca="1">'Fruit Trees'!C89</f>
        <v>#7</v>
      </c>
      <c r="D99" s="42" t="str">
        <f ca="1">'Fruit Trees'!D89</f>
        <v>0.75-1"</v>
      </c>
      <c r="E99" s="42" t="str">
        <f ca="1">'Fruit Trees'!E89</f>
        <v>7-10'</v>
      </c>
      <c r="F99" s="52">
        <f ca="1">'Fruit Trees'!F89</f>
        <v>13</v>
      </c>
      <c r="G99" s="53">
        <f ca="1">'Fruit Trees'!G89</f>
        <v>100</v>
      </c>
      <c r="H99" s="51" t="str">
        <f t="shared" ca="1" si="0"/>
        <v>Jujube - GA 866 #7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Trees'!A90</f>
        <v>Jujube - Honey Jar</v>
      </c>
      <c r="C100" s="42" t="str">
        <f ca="1">'Fruit Trees'!C90</f>
        <v>#5</v>
      </c>
      <c r="D100" s="42" t="str">
        <f ca="1">'Fruit Trees'!D90</f>
        <v>0.5-0.75"</v>
      </c>
      <c r="E100" s="42" t="str">
        <f ca="1">'Fruit Trees'!E90</f>
        <v>4-5'</v>
      </c>
      <c r="F100" s="52">
        <f ca="1">'Fruit Trees'!F90</f>
        <v>19</v>
      </c>
      <c r="G100" s="53">
        <f ca="1">'Fruit Trees'!G90</f>
        <v>100</v>
      </c>
      <c r="H100" s="51" t="str">
        <f t="shared" ca="1" si="0"/>
        <v>Jujube - Honey Jar #5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Trees'!A91</f>
        <v>Jujube - Lang</v>
      </c>
      <c r="C101" s="42" t="str">
        <f ca="1">'Fruit Trees'!C91</f>
        <v>#5</v>
      </c>
      <c r="D101" s="42" t="str">
        <f ca="1">'Fruit Trees'!D91</f>
        <v>0.5-1"</v>
      </c>
      <c r="E101" s="42" t="str">
        <f ca="1">'Fruit Trees'!E91</f>
        <v>4.5-8'</v>
      </c>
      <c r="F101" s="52">
        <f ca="1">'Fruit Trees'!F91</f>
        <v>59</v>
      </c>
      <c r="G101" s="53">
        <f ca="1">'Fruit Trees'!G91</f>
        <v>100</v>
      </c>
      <c r="H101" s="51" t="str">
        <f t="shared" ca="1" si="0"/>
        <v>Jujube - Lang #5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Trees'!A92</f>
        <v>Jujube - Lang</v>
      </c>
      <c r="C102" s="42" t="str">
        <f ca="1">'Fruit Trees'!C92</f>
        <v>#7</v>
      </c>
      <c r="D102" s="42" t="str">
        <f ca="1">'Fruit Trees'!D92</f>
        <v>1-1"</v>
      </c>
      <c r="E102" s="42" t="str">
        <f ca="1">'Fruit Trees'!E92</f>
        <v>8-9'</v>
      </c>
      <c r="F102" s="52">
        <f ca="1">'Fruit Trees'!F92</f>
        <v>3</v>
      </c>
      <c r="G102" s="53">
        <f ca="1">'Fruit Trees'!G92</f>
        <v>100</v>
      </c>
      <c r="H102" s="51" t="str">
        <f t="shared" ca="1" si="0"/>
        <v>Jujube - Lang #7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Trees'!A93</f>
        <v>Jujube - Li</v>
      </c>
      <c r="C103" s="42" t="str">
        <f ca="1">'Fruit Trees'!C93</f>
        <v>#5</v>
      </c>
      <c r="D103" s="42" t="str">
        <f ca="1">'Fruit Trees'!D93</f>
        <v>0.5-1"</v>
      </c>
      <c r="E103" s="42" t="str">
        <f ca="1">'Fruit Trees'!E93</f>
        <v>4-9'</v>
      </c>
      <c r="F103" s="52">
        <f ca="1">'Fruit Trees'!F93</f>
        <v>203</v>
      </c>
      <c r="G103" s="53">
        <f ca="1">'Fruit Trees'!G93</f>
        <v>100</v>
      </c>
      <c r="H103" s="51" t="str">
        <f t="shared" ca="1" si="0"/>
        <v>Jujube - Li #5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Trees'!A94</f>
        <v>Jujube - Li</v>
      </c>
      <c r="C104" s="42" t="str">
        <f ca="1">'Fruit Trees'!C94</f>
        <v>#7</v>
      </c>
      <c r="D104" s="42" t="str">
        <f ca="1">'Fruit Trees'!D94</f>
        <v>0.75-1"</v>
      </c>
      <c r="E104" s="42" t="str">
        <f ca="1">'Fruit Trees'!E94</f>
        <v>7-11'</v>
      </c>
      <c r="F104" s="52">
        <f ca="1">'Fruit Trees'!F94</f>
        <v>4</v>
      </c>
      <c r="G104" s="53">
        <f ca="1">'Fruit Trees'!G94</f>
        <v>100</v>
      </c>
      <c r="H104" s="51" t="str">
        <f t="shared" ca="1" si="0"/>
        <v>Jujube - Li #7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Trees'!A95</f>
        <v>Jujube - Sugar Cane</v>
      </c>
      <c r="C105" s="42" t="str">
        <f ca="1">'Fruit Trees'!C95</f>
        <v>#5</v>
      </c>
      <c r="D105" s="42" t="str">
        <f ca="1">'Fruit Trees'!D95</f>
        <v>0.5-1"</v>
      </c>
      <c r="E105" s="42" t="str">
        <f ca="1">'Fruit Trees'!E95</f>
        <v>4-8'</v>
      </c>
      <c r="F105" s="52">
        <f ca="1">'Fruit Trees'!F95</f>
        <v>194</v>
      </c>
      <c r="G105" s="53">
        <f ca="1">'Fruit Trees'!G95</f>
        <v>100</v>
      </c>
      <c r="H105" s="51" t="str">
        <f t="shared" ca="1" si="0"/>
        <v>Jujube - Sugar Cane #5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Trees'!A96</f>
        <v>Jujube - Sugar Cane</v>
      </c>
      <c r="C106" s="42" t="str">
        <f ca="1">'Fruit Trees'!C96</f>
        <v>#7</v>
      </c>
      <c r="D106" s="42" t="str">
        <f ca="1">'Fruit Trees'!D96</f>
        <v>0.75-1"</v>
      </c>
      <c r="E106" s="42" t="str">
        <f ca="1">'Fruit Trees'!E96</f>
        <v>7-8'</v>
      </c>
      <c r="F106" s="52">
        <f ca="1">'Fruit Trees'!F96</f>
        <v>5</v>
      </c>
      <c r="G106" s="53">
        <f ca="1">'Fruit Trees'!G96</f>
        <v>100</v>
      </c>
      <c r="H106" s="51" t="str">
        <f t="shared" ca="1" si="0"/>
        <v>Jujube - Sugar Cane #7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Trees'!A97</f>
        <v>Mulberry - Everbearing</v>
      </c>
      <c r="C107" s="42" t="str">
        <f ca="1">'Fruit Trees'!C97</f>
        <v>#5</v>
      </c>
      <c r="D107" s="42" t="str">
        <f ca="1">'Fruit Trees'!D97</f>
        <v>Multi</v>
      </c>
      <c r="E107" s="42" t="str">
        <f ca="1">'Fruit Trees'!E97</f>
        <v>1-3'</v>
      </c>
      <c r="F107" s="52">
        <f ca="1">'Fruit Trees'!F97</f>
        <v>55</v>
      </c>
      <c r="G107" s="53">
        <f ca="1">'Fruit Trees'!G97</f>
        <v>50</v>
      </c>
      <c r="H107" s="51" t="str">
        <f t="shared" ca="1" si="0"/>
        <v>Mulberry - Everbearing #5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Trees'!A98</f>
        <v>Mulberry - Red</v>
      </c>
      <c r="C108" s="42" t="str">
        <f ca="1">'Fruit Trees'!C98</f>
        <v>#5</v>
      </c>
      <c r="D108" s="42" t="str">
        <f ca="1">'Fruit Trees'!D98</f>
        <v>0.5-1.5"</v>
      </c>
      <c r="E108" s="42" t="str">
        <f ca="1">'Fruit Trees'!E98</f>
        <v>4-9'</v>
      </c>
      <c r="F108" s="52">
        <f ca="1">'Fruit Trees'!F98</f>
        <v>43</v>
      </c>
      <c r="G108" s="53">
        <f ca="1">'Fruit Trees'!G98</f>
        <v>50</v>
      </c>
      <c r="H108" s="51" t="str">
        <f t="shared" ca="1" si="0"/>
        <v>Mulberry - Red #5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Trees'!A99</f>
        <v>Nectarine - Flavortop</v>
      </c>
      <c r="C109" s="42" t="str">
        <f ca="1">'Fruit Trees'!C99</f>
        <v>#5</v>
      </c>
      <c r="D109" s="42" t="str">
        <f ca="1">'Fruit Trees'!D99</f>
        <v>1-1.25"</v>
      </c>
      <c r="E109" s="42" t="str">
        <f ca="1">'Fruit Trees'!E99</f>
        <v>6-8'</v>
      </c>
      <c r="F109" s="52">
        <f ca="1">'Fruit Trees'!F99</f>
        <v>10</v>
      </c>
      <c r="G109" s="53">
        <f ca="1">'Fruit Trees'!G99</f>
        <v>55</v>
      </c>
      <c r="H109" s="51" t="str">
        <f t="shared" ca="1" si="0"/>
        <v>Nectarine - Flavortop #5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Trees'!A100</f>
        <v>Nectarine - Independence</v>
      </c>
      <c r="C110" s="42" t="str">
        <f ca="1">'Fruit Trees'!C100</f>
        <v>#5</v>
      </c>
      <c r="D110" s="42" t="str">
        <f ca="1">'Fruit Trees'!D100</f>
        <v>1-1"</v>
      </c>
      <c r="E110" s="42" t="str">
        <f ca="1">'Fruit Trees'!E100</f>
        <v>5-7'</v>
      </c>
      <c r="F110" s="52">
        <f ca="1">'Fruit Trees'!F100</f>
        <v>36</v>
      </c>
      <c r="G110" s="53">
        <f ca="1">'Fruit Trees'!G100</f>
        <v>55</v>
      </c>
      <c r="H110" s="51" t="str">
        <f t="shared" ca="1" si="0"/>
        <v>Nectarine - Independence #5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Trees'!A101</f>
        <v>Nectarine - Redgold</v>
      </c>
      <c r="C111" s="42" t="str">
        <f ca="1">'Fruit Trees'!C101</f>
        <v>#5</v>
      </c>
      <c r="D111" s="42" t="str">
        <f ca="1">'Fruit Trees'!D101</f>
        <v>0.75-1"</v>
      </c>
      <c r="E111" s="42" t="str">
        <f ca="1">'Fruit Trees'!E101</f>
        <v>4-6'</v>
      </c>
      <c r="F111" s="52">
        <f ca="1">'Fruit Trees'!F101</f>
        <v>35</v>
      </c>
      <c r="G111" s="53">
        <f ca="1">'Fruit Trees'!G101</f>
        <v>55</v>
      </c>
      <c r="H111" s="51" t="str">
        <f t="shared" ca="1" si="0"/>
        <v>Nectarine - Redgold #5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Trees'!A102</f>
        <v>Nectarine (White) - Arctic Glo</v>
      </c>
      <c r="C112" s="42" t="str">
        <f ca="1">'Fruit Trees'!C102</f>
        <v>#5</v>
      </c>
      <c r="D112" s="42" t="str">
        <f ca="1">'Fruit Trees'!D102</f>
        <v>0.75-1"</v>
      </c>
      <c r="E112" s="42" t="str">
        <f ca="1">'Fruit Trees'!E102</f>
        <v>4-6.5'</v>
      </c>
      <c r="F112" s="52">
        <f ca="1">'Fruit Trees'!F102</f>
        <v>109</v>
      </c>
      <c r="G112" s="53">
        <f ca="1">'Fruit Trees'!G102</f>
        <v>55</v>
      </c>
      <c r="H112" s="51" t="str">
        <f t="shared" ca="1" si="0"/>
        <v>Nectarine (White) - Arctic Glo #5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Trees'!A103</f>
        <v>Nectarine (White) - Arctic Glo</v>
      </c>
      <c r="C113" s="42" t="str">
        <f ca="1">'Fruit Trees'!C103</f>
        <v>#7</v>
      </c>
      <c r="D113" s="42" t="str">
        <f ca="1">'Fruit Trees'!D103</f>
        <v>0.75-1.5"</v>
      </c>
      <c r="E113" s="42" t="str">
        <f ca="1">'Fruit Trees'!E103</f>
        <v>4-9'</v>
      </c>
      <c r="F113" s="52">
        <f ca="1">'Fruit Trees'!F103</f>
        <v>12</v>
      </c>
      <c r="G113" s="53">
        <f ca="1">'Fruit Trees'!G103</f>
        <v>80</v>
      </c>
      <c r="H113" s="51" t="str">
        <f t="shared" ca="1" si="0"/>
        <v>Nectarine (White) - Arctic Glo #7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Trees'!A104</f>
        <v>Nectarine (White) - Arctic Sweet</v>
      </c>
      <c r="C114" s="42" t="str">
        <f ca="1">'Fruit Trees'!C104</f>
        <v>#7</v>
      </c>
      <c r="D114" s="42" t="str">
        <f ca="1">'Fruit Trees'!D104</f>
        <v>1.25-1.5"</v>
      </c>
      <c r="E114" s="42" t="str">
        <f ca="1">'Fruit Trees'!E104</f>
        <v>9-10'</v>
      </c>
      <c r="F114" s="52">
        <f ca="1">'Fruit Trees'!F104</f>
        <v>15</v>
      </c>
      <c r="G114" s="53">
        <f ca="1">'Fruit Trees'!G104</f>
        <v>80</v>
      </c>
      <c r="H114" s="51" t="str">
        <f t="shared" ca="1" si="0"/>
        <v>Nectarine (White) - Arctic Sweet #7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Trees'!A105</f>
        <v>Pawpaw</v>
      </c>
      <c r="C115" s="42" t="str">
        <f ca="1">'Fruit Trees'!C105</f>
        <v>#5</v>
      </c>
      <c r="D115" s="42" t="str">
        <f ca="1">'Fruit Trees'!D105</f>
        <v>0.25-0.5"</v>
      </c>
      <c r="E115" s="42" t="str">
        <f ca="1">'Fruit Trees'!E105</f>
        <v>1-4'</v>
      </c>
      <c r="F115" s="52">
        <f ca="1">'Fruit Trees'!F105</f>
        <v>178</v>
      </c>
      <c r="G115" s="53">
        <f ca="1">'Fruit Trees'!G105</f>
        <v>50</v>
      </c>
      <c r="H115" s="51" t="str">
        <f t="shared" ca="1" si="0"/>
        <v>Pawpaw #5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Trees'!A106</f>
        <v>Pawpaw</v>
      </c>
      <c r="C116" s="42" t="str">
        <f ca="1">'Fruit Trees'!C106</f>
        <v>#10</v>
      </c>
      <c r="D116" s="42" t="str">
        <f ca="1">'Fruit Trees'!D106</f>
        <v>Multi</v>
      </c>
      <c r="E116" s="42" t="str">
        <f ca="1">'Fruit Trees'!E106</f>
        <v>4-4'</v>
      </c>
      <c r="F116" s="52">
        <f ca="1">'Fruit Trees'!F106</f>
        <v>1</v>
      </c>
      <c r="G116" s="53">
        <f ca="1">'Fruit Trees'!G106</f>
        <v>100</v>
      </c>
      <c r="H116" s="51" t="str">
        <f t="shared" ca="1" si="0"/>
        <v>Pawpaw #10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Trees'!A107</f>
        <v>Pawpaw - Allegheny</v>
      </c>
      <c r="C117" s="42" t="str">
        <f ca="1">'Fruit Trees'!C107</f>
        <v>#5</v>
      </c>
      <c r="D117" s="42" t="str">
        <f ca="1">'Fruit Trees'!D107</f>
        <v>0.25-0.5"</v>
      </c>
      <c r="E117" s="42" t="str">
        <f ca="1">'Fruit Trees'!E107</f>
        <v>2-3'</v>
      </c>
      <c r="F117" s="52">
        <f ca="1">'Fruit Trees'!F107</f>
        <v>51</v>
      </c>
      <c r="G117" s="53">
        <f ca="1">'Fruit Trees'!G107</f>
        <v>100</v>
      </c>
      <c r="H117" s="51" t="str">
        <f t="shared" ca="1" si="0"/>
        <v>Pawpaw - Allegheny #5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Trees'!A108</f>
        <v>Pawpaw - Mango</v>
      </c>
      <c r="C118" s="42" t="str">
        <f ca="1">'Fruit Trees'!C108</f>
        <v>#5</v>
      </c>
      <c r="D118" s="42" t="str">
        <f ca="1">'Fruit Trees'!D108</f>
        <v>0.25-0.5"</v>
      </c>
      <c r="E118" s="42" t="str">
        <f ca="1">'Fruit Trees'!E108</f>
        <v>2-2.5'</v>
      </c>
      <c r="F118" s="52">
        <f ca="1">'Fruit Trees'!F108</f>
        <v>66</v>
      </c>
      <c r="G118" s="53">
        <f ca="1">'Fruit Trees'!G108</f>
        <v>100</v>
      </c>
      <c r="H118" s="51" t="str">
        <f t="shared" ca="1" si="0"/>
        <v>Pawpaw - Mango #5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Trees'!A109</f>
        <v>Pawpaw - NC-1</v>
      </c>
      <c r="C119" s="42" t="str">
        <f ca="1">'Fruit Trees'!C109</f>
        <v>#5</v>
      </c>
      <c r="D119" s="42" t="str">
        <f ca="1">'Fruit Trees'!D109</f>
        <v>0.25-0.5"</v>
      </c>
      <c r="E119" s="42" t="str">
        <f ca="1">'Fruit Trees'!E109</f>
        <v>2-3.5'</v>
      </c>
      <c r="F119" s="52">
        <f ca="1">'Fruit Trees'!F109</f>
        <v>54</v>
      </c>
      <c r="G119" s="53">
        <f ca="1">'Fruit Trees'!G109</f>
        <v>100</v>
      </c>
      <c r="H119" s="51" t="str">
        <f t="shared" ca="1" si="0"/>
        <v>Pawpaw - NC-1 #5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Trees'!A110</f>
        <v>Pawpaw - Potomac</v>
      </c>
      <c r="C120" s="42" t="str">
        <f ca="1">'Fruit Trees'!C110</f>
        <v>#5</v>
      </c>
      <c r="D120" s="42" t="str">
        <f ca="1">'Fruit Trees'!D110</f>
        <v>0.25-0.5"</v>
      </c>
      <c r="E120" s="42" t="str">
        <f ca="1">'Fruit Trees'!E110</f>
        <v>1-3'</v>
      </c>
      <c r="F120" s="52">
        <f ca="1">'Fruit Trees'!F110</f>
        <v>62</v>
      </c>
      <c r="G120" s="53">
        <f ca="1">'Fruit Trees'!G110</f>
        <v>100</v>
      </c>
      <c r="H120" s="51" t="str">
        <f t="shared" ca="1" si="0"/>
        <v>Pawpaw - Potomac #5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Trees'!A111</f>
        <v>Pawpaw - Shenandoah</v>
      </c>
      <c r="C121" s="42" t="str">
        <f ca="1">'Fruit Trees'!C111</f>
        <v>#5</v>
      </c>
      <c r="D121" s="42" t="str">
        <f ca="1">'Fruit Trees'!D111</f>
        <v>0.25-0.5"</v>
      </c>
      <c r="E121" s="42" t="str">
        <f ca="1">'Fruit Trees'!E111</f>
        <v>1-2'</v>
      </c>
      <c r="F121" s="52">
        <f ca="1">'Fruit Trees'!F111</f>
        <v>60</v>
      </c>
      <c r="G121" s="53">
        <f ca="1">'Fruit Trees'!G111</f>
        <v>100</v>
      </c>
      <c r="H121" s="51" t="str">
        <f t="shared" ca="1" si="0"/>
        <v>Pawpaw - Shenandoah #5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Trees'!A112</f>
        <v>Pawpaw - Susquehanna</v>
      </c>
      <c r="C122" s="42" t="str">
        <f ca="1">'Fruit Trees'!C112</f>
        <v>#5</v>
      </c>
      <c r="D122" s="42" t="str">
        <f ca="1">'Fruit Trees'!D112</f>
        <v>0.5-0.5"</v>
      </c>
      <c r="E122" s="42" t="str">
        <f ca="1">'Fruit Trees'!E112</f>
        <v>1.5-2.5'</v>
      </c>
      <c r="F122" s="52">
        <f ca="1">'Fruit Trees'!F112</f>
        <v>62</v>
      </c>
      <c r="G122" s="53">
        <f ca="1">'Fruit Trees'!G112</f>
        <v>100</v>
      </c>
      <c r="H122" s="51" t="str">
        <f t="shared" ca="1" si="0"/>
        <v>Pawpaw - Susquehanna #5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Trees'!A113</f>
        <v>Pawpaw - Wabash</v>
      </c>
      <c r="C123" s="42" t="str">
        <f ca="1">'Fruit Trees'!C113</f>
        <v>#5</v>
      </c>
      <c r="D123" s="42" t="str">
        <f ca="1">'Fruit Trees'!D113</f>
        <v>0.25-0.5"</v>
      </c>
      <c r="E123" s="42" t="str">
        <f ca="1">'Fruit Trees'!E113</f>
        <v>1-3'</v>
      </c>
      <c r="F123" s="52">
        <f ca="1">'Fruit Trees'!F113</f>
        <v>11</v>
      </c>
      <c r="G123" s="53">
        <f ca="1">'Fruit Trees'!G113</f>
        <v>100</v>
      </c>
      <c r="H123" s="51" t="str">
        <f t="shared" ca="1" si="0"/>
        <v>Pawpaw - Wabash #5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Trees'!A114</f>
        <v>Peach - Contender</v>
      </c>
      <c r="C124" s="42" t="str">
        <f ca="1">'Fruit Trees'!C114</f>
        <v>#5</v>
      </c>
      <c r="D124" s="42" t="str">
        <f ca="1">'Fruit Trees'!D114</f>
        <v>0.75-1"</v>
      </c>
      <c r="E124" s="42" t="str">
        <f ca="1">'Fruit Trees'!E114</f>
        <v>4-6'</v>
      </c>
      <c r="F124" s="52">
        <f ca="1">'Fruit Trees'!F114</f>
        <v>73</v>
      </c>
      <c r="G124" s="53">
        <f ca="1">'Fruit Trees'!G114</f>
        <v>55</v>
      </c>
      <c r="H124" s="51" t="str">
        <f t="shared" ca="1" si="0"/>
        <v>Peach - Contender #5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Trees'!A115</f>
        <v>Peach - Cresthaven</v>
      </c>
      <c r="C125" s="42" t="str">
        <f ca="1">'Fruit Trees'!C115</f>
        <v>#5</v>
      </c>
      <c r="D125" s="42" t="str">
        <f ca="1">'Fruit Trees'!D115</f>
        <v>0.75-0.75"</v>
      </c>
      <c r="E125" s="42" t="str">
        <f ca="1">'Fruit Trees'!E115</f>
        <v>4-4'</v>
      </c>
      <c r="F125" s="52">
        <f ca="1">'Fruit Trees'!F115</f>
        <v>1</v>
      </c>
      <c r="G125" s="53">
        <f ca="1">'Fruit Trees'!G115</f>
        <v>55</v>
      </c>
      <c r="H125" s="51" t="str">
        <f t="shared" ca="1" si="0"/>
        <v>Peach - Cresthaven #5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Trees'!A116</f>
        <v>Peach - Elberta</v>
      </c>
      <c r="C126" s="42" t="str">
        <f ca="1">'Fruit Trees'!C116</f>
        <v>#5</v>
      </c>
      <c r="D126" s="42" t="str">
        <f ca="1">'Fruit Trees'!D116</f>
        <v>0.5-1.25"</v>
      </c>
      <c r="E126" s="42" t="str">
        <f ca="1">'Fruit Trees'!E116</f>
        <v>3.5-6'</v>
      </c>
      <c r="F126" s="52">
        <f ca="1">'Fruit Trees'!F116</f>
        <v>67</v>
      </c>
      <c r="G126" s="53">
        <f ca="1">'Fruit Trees'!G116</f>
        <v>55</v>
      </c>
      <c r="H126" s="51" t="str">
        <f t="shared" ca="1" si="0"/>
        <v>Peach - Elberta #5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Trees'!A117</f>
        <v>Peach - Harvester</v>
      </c>
      <c r="C127" s="42" t="str">
        <f ca="1">'Fruit Trees'!C117</f>
        <v>#5</v>
      </c>
      <c r="D127" s="42" t="str">
        <f ca="1">'Fruit Trees'!D117</f>
        <v>0.75-1.25"</v>
      </c>
      <c r="E127" s="42" t="str">
        <f ca="1">'Fruit Trees'!E117</f>
        <v>4-8'</v>
      </c>
      <c r="F127" s="52">
        <f ca="1">'Fruit Trees'!F117</f>
        <v>59</v>
      </c>
      <c r="G127" s="53">
        <f ca="1">'Fruit Trees'!G117</f>
        <v>55</v>
      </c>
      <c r="H127" s="51" t="str">
        <f t="shared" ca="1" si="0"/>
        <v>Peach - Harvester #5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Trees'!A118</f>
        <v>Peach - Redhaven</v>
      </c>
      <c r="C128" s="42" t="str">
        <f ca="1">'Fruit Trees'!C118</f>
        <v>#5</v>
      </c>
      <c r="D128" s="42" t="str">
        <f ca="1">'Fruit Trees'!D118</f>
        <v>0.75-1"</v>
      </c>
      <c r="E128" s="42" t="str">
        <f ca="1">'Fruit Trees'!E118</f>
        <v>4-7'</v>
      </c>
      <c r="F128" s="52">
        <f ca="1">'Fruit Trees'!F118</f>
        <v>70</v>
      </c>
      <c r="G128" s="53">
        <f ca="1">'Fruit Trees'!G118</f>
        <v>55</v>
      </c>
      <c r="H128" s="51" t="str">
        <f t="shared" ca="1" si="0"/>
        <v>Peach - Redhaven #5</v>
      </c>
      <c r="I128" s="54"/>
      <c r="J128" s="55">
        <f t="shared" ca="1" si="1"/>
        <v>0</v>
      </c>
      <c r="K128" s="55"/>
    </row>
    <row r="129" spans="2:11" ht="12.75" x14ac:dyDescent="0.2">
      <c r="B129" s="51" t="str">
        <f ca="1">'Fruit Trees'!A119</f>
        <v>Peach - Redskin</v>
      </c>
      <c r="C129" s="42" t="str">
        <f ca="1">'Fruit Trees'!C119</f>
        <v>#5</v>
      </c>
      <c r="D129" s="42" t="str">
        <f ca="1">'Fruit Trees'!D119</f>
        <v>0.75-1"</v>
      </c>
      <c r="E129" s="42" t="str">
        <f ca="1">'Fruit Trees'!E119</f>
        <v>4-6'</v>
      </c>
      <c r="F129" s="52">
        <f ca="1">'Fruit Trees'!F119</f>
        <v>5</v>
      </c>
      <c r="G129" s="53">
        <f ca="1">'Fruit Trees'!G119</f>
        <v>55</v>
      </c>
      <c r="H129" s="51" t="str">
        <f t="shared" ca="1" si="0"/>
        <v>Peach - Redskin #5</v>
      </c>
      <c r="I129" s="54"/>
      <c r="J129" s="55">
        <f t="shared" ca="1" si="1"/>
        <v>0</v>
      </c>
      <c r="K129" s="55"/>
    </row>
    <row r="130" spans="2:11" ht="12.75" x14ac:dyDescent="0.2">
      <c r="B130" s="51" t="str">
        <f ca="1">'Fruit Trees'!A120</f>
        <v>Peach - Sugar May</v>
      </c>
      <c r="C130" s="42" t="str">
        <f ca="1">'Fruit Trees'!C120</f>
        <v>#5</v>
      </c>
      <c r="D130" s="42" t="str">
        <f ca="1">'Fruit Trees'!D120</f>
        <v>0.5-0.75"</v>
      </c>
      <c r="E130" s="42" t="str">
        <f ca="1">'Fruit Trees'!E120</f>
        <v>4-4'</v>
      </c>
      <c r="F130" s="52">
        <f ca="1">'Fruit Trees'!F120</f>
        <v>3</v>
      </c>
      <c r="G130" s="53">
        <f ca="1">'Fruit Trees'!G120</f>
        <v>55</v>
      </c>
      <c r="H130" s="51" t="str">
        <f t="shared" ca="1" si="0"/>
        <v>Peach - Sugar May #5</v>
      </c>
      <c r="I130" s="54"/>
      <c r="J130" s="55">
        <f t="shared" ca="1" si="1"/>
        <v>0</v>
      </c>
      <c r="K130" s="55"/>
    </row>
    <row r="131" spans="2:11" ht="12.75" x14ac:dyDescent="0.2">
      <c r="B131" s="51" t="str">
        <f ca="1">'Fruit Trees'!A121</f>
        <v>Peach (Donut White) - Galaxy</v>
      </c>
      <c r="C131" s="42" t="str">
        <f ca="1">'Fruit Trees'!C121</f>
        <v>#5</v>
      </c>
      <c r="D131" s="42" t="str">
        <f ca="1">'Fruit Trees'!D121</f>
        <v>0.5-1.25"</v>
      </c>
      <c r="E131" s="42" t="str">
        <f ca="1">'Fruit Trees'!E121</f>
        <v>4-7'</v>
      </c>
      <c r="F131" s="52">
        <f ca="1">'Fruit Trees'!F121</f>
        <v>72</v>
      </c>
      <c r="G131" s="53">
        <f ca="1">'Fruit Trees'!G121</f>
        <v>55</v>
      </c>
      <c r="H131" s="51" t="str">
        <f t="shared" ca="1" si="0"/>
        <v>Peach (Donut White) - Galaxy #5</v>
      </c>
      <c r="I131" s="54"/>
      <c r="J131" s="55">
        <f t="shared" ca="1" si="1"/>
        <v>0</v>
      </c>
      <c r="K131" s="55"/>
    </row>
    <row r="132" spans="2:11" ht="12.75" x14ac:dyDescent="0.2">
      <c r="B132" s="51" t="str">
        <f ca="1">'Fruit Trees'!A122</f>
        <v>Peach (Donut White) - Saturn</v>
      </c>
      <c r="C132" s="42" t="str">
        <f ca="1">'Fruit Trees'!C122</f>
        <v>#5</v>
      </c>
      <c r="D132" s="42" t="str">
        <f ca="1">'Fruit Trees'!D122</f>
        <v>0.5-1"</v>
      </c>
      <c r="E132" s="42" t="str">
        <f ca="1">'Fruit Trees'!E122</f>
        <v>4-7.5'</v>
      </c>
      <c r="F132" s="52">
        <f ca="1">'Fruit Trees'!F122</f>
        <v>125</v>
      </c>
      <c r="G132" s="53">
        <f ca="1">'Fruit Trees'!G122</f>
        <v>55</v>
      </c>
      <c r="H132" s="51" t="str">
        <f t="shared" ca="1" si="0"/>
        <v>Peach (Donut White) - Saturn #5</v>
      </c>
      <c r="I132" s="54"/>
      <c r="J132" s="55">
        <f t="shared" ca="1" si="1"/>
        <v>0</v>
      </c>
      <c r="K132" s="55"/>
    </row>
    <row r="133" spans="2:11" ht="12.75" x14ac:dyDescent="0.2">
      <c r="B133" s="51" t="str">
        <f ca="1">'Fruit Trees'!A123</f>
        <v>Peach (White) - Giant Babcock</v>
      </c>
      <c r="C133" s="42" t="str">
        <f ca="1">'Fruit Trees'!C123</f>
        <v>#5</v>
      </c>
      <c r="D133" s="42" t="str">
        <f ca="1">'Fruit Trees'!D123</f>
        <v>0.75-1"</v>
      </c>
      <c r="E133" s="42" t="str">
        <f ca="1">'Fruit Trees'!E123</f>
        <v>5-6.5'</v>
      </c>
      <c r="F133" s="52">
        <f ca="1">'Fruit Trees'!F123</f>
        <v>18</v>
      </c>
      <c r="G133" s="53">
        <f ca="1">'Fruit Trees'!G123</f>
        <v>55</v>
      </c>
      <c r="H133" s="51" t="str">
        <f t="shared" ca="1" si="0"/>
        <v>Peach (White) - Giant Babcock #5</v>
      </c>
      <c r="I133" s="54"/>
      <c r="J133" s="55">
        <f t="shared" ca="1" si="1"/>
        <v>0</v>
      </c>
      <c r="K133" s="55"/>
    </row>
    <row r="134" spans="2:11" ht="12.75" x14ac:dyDescent="0.2">
      <c r="B134" s="51" t="str">
        <f ca="1">'Fruit Trees'!A124</f>
        <v>Peach (White) - Snow Giant</v>
      </c>
      <c r="C134" s="42" t="str">
        <f ca="1">'Fruit Trees'!C124</f>
        <v>#5</v>
      </c>
      <c r="D134" s="42" t="str">
        <f ca="1">'Fruit Trees'!D124</f>
        <v>0.25-1"</v>
      </c>
      <c r="E134" s="42" t="str">
        <f ca="1">'Fruit Trees'!E124</f>
        <v>3-6'</v>
      </c>
      <c r="F134" s="52">
        <f ca="1">'Fruit Trees'!F124</f>
        <v>91</v>
      </c>
      <c r="G134" s="53">
        <f ca="1">'Fruit Trees'!G124</f>
        <v>55</v>
      </c>
      <c r="H134" s="51" t="str">
        <f t="shared" ca="1" si="0"/>
        <v>Peach (White) - Snow Giant #5</v>
      </c>
      <c r="I134" s="54"/>
      <c r="J134" s="55">
        <f t="shared" ca="1" si="1"/>
        <v>0</v>
      </c>
      <c r="K134" s="55"/>
    </row>
    <row r="135" spans="2:11" ht="12.75" x14ac:dyDescent="0.2">
      <c r="B135" s="51" t="str">
        <f ca="1">'Fruit Trees'!A125</f>
        <v>Peach (White) - Sugar Giant</v>
      </c>
      <c r="C135" s="42" t="str">
        <f ca="1">'Fruit Trees'!C125</f>
        <v>#5</v>
      </c>
      <c r="D135" s="42" t="str">
        <f ca="1">'Fruit Trees'!D125</f>
        <v>0.5-1"</v>
      </c>
      <c r="E135" s="42" t="str">
        <f ca="1">'Fruit Trees'!E125</f>
        <v>4-7'</v>
      </c>
      <c r="F135" s="52">
        <f ca="1">'Fruit Trees'!F125</f>
        <v>64</v>
      </c>
      <c r="G135" s="53">
        <f ca="1">'Fruit Trees'!G125</f>
        <v>55</v>
      </c>
      <c r="H135" s="51" t="str">
        <f t="shared" ca="1" si="0"/>
        <v>Peach (White) - Sugar Giant #5</v>
      </c>
      <c r="I135" s="54"/>
      <c r="J135" s="55">
        <f t="shared" ca="1" si="1"/>
        <v>0</v>
      </c>
      <c r="K135" s="55"/>
    </row>
    <row r="136" spans="2:11" ht="12.75" x14ac:dyDescent="0.2">
      <c r="B136" s="51" t="str">
        <f ca="1">'Fruit Trees'!A126</f>
        <v>Peach (White) - White Lady</v>
      </c>
      <c r="C136" s="42" t="str">
        <f ca="1">'Fruit Trees'!C126</f>
        <v>#5</v>
      </c>
      <c r="D136" s="42" t="str">
        <f ca="1">'Fruit Trees'!D126</f>
        <v>0.5-1.25"</v>
      </c>
      <c r="E136" s="42" t="str">
        <f ca="1">'Fruit Trees'!E126</f>
        <v>4-7'</v>
      </c>
      <c r="F136" s="52">
        <f ca="1">'Fruit Trees'!F126</f>
        <v>171</v>
      </c>
      <c r="G136" s="53">
        <f ca="1">'Fruit Trees'!G126</f>
        <v>55</v>
      </c>
      <c r="H136" s="51" t="str">
        <f t="shared" ca="1" si="0"/>
        <v>Peach (White) - White Lady #5</v>
      </c>
      <c r="I136" s="54"/>
      <c r="J136" s="55">
        <f t="shared" ca="1" si="1"/>
        <v>0</v>
      </c>
      <c r="K136" s="55"/>
    </row>
    <row r="137" spans="2:11" ht="12.75" x14ac:dyDescent="0.2">
      <c r="B137" s="51" t="str">
        <f ca="1">'Fruit Trees'!A127</f>
        <v>Pear - Ayers</v>
      </c>
      <c r="C137" s="42" t="str">
        <f ca="1">'Fruit Trees'!C127</f>
        <v>#5</v>
      </c>
      <c r="D137" s="42" t="str">
        <f ca="1">'Fruit Trees'!D127</f>
        <v>0.75-1.5"</v>
      </c>
      <c r="E137" s="42" t="str">
        <f ca="1">'Fruit Trees'!E127</f>
        <v>7-10'</v>
      </c>
      <c r="F137" s="52">
        <f ca="1">'Fruit Trees'!F127</f>
        <v>118</v>
      </c>
      <c r="G137" s="53">
        <f ca="1">'Fruit Trees'!G127</f>
        <v>55</v>
      </c>
      <c r="H137" s="51" t="str">
        <f t="shared" ca="1" si="0"/>
        <v>Pear - Ayers #5</v>
      </c>
      <c r="I137" s="54"/>
      <c r="J137" s="55">
        <f t="shared" ca="1" si="1"/>
        <v>0</v>
      </c>
      <c r="K137" s="55"/>
    </row>
    <row r="138" spans="2:11" ht="12.75" x14ac:dyDescent="0.2">
      <c r="B138" s="51" t="str">
        <f ca="1">'Fruit Trees'!A128</f>
        <v>Pear - Ayers</v>
      </c>
      <c r="C138" s="42" t="str">
        <f ca="1">'Fruit Trees'!C128</f>
        <v>#7</v>
      </c>
      <c r="D138" s="42" t="str">
        <f ca="1">'Fruit Trees'!D128</f>
        <v>1-1.25"</v>
      </c>
      <c r="E138" s="42" t="str">
        <f ca="1">'Fruit Trees'!E128</f>
        <v>10-13'</v>
      </c>
      <c r="F138" s="52">
        <f ca="1">'Fruit Trees'!F128</f>
        <v>5</v>
      </c>
      <c r="G138" s="53">
        <f ca="1">'Fruit Trees'!G128</f>
        <v>80</v>
      </c>
      <c r="H138" s="51" t="str">
        <f t="shared" ca="1" si="0"/>
        <v>Pear - Ayers #7</v>
      </c>
      <c r="I138" s="54"/>
      <c r="J138" s="55">
        <f t="shared" ca="1" si="1"/>
        <v>0</v>
      </c>
      <c r="K138" s="55"/>
    </row>
    <row r="139" spans="2:11" ht="12.75" x14ac:dyDescent="0.2">
      <c r="B139" s="51" t="str">
        <f ca="1">'Fruit Trees'!A129</f>
        <v>Pear - Bartlett</v>
      </c>
      <c r="C139" s="42" t="str">
        <f ca="1">'Fruit Trees'!C129</f>
        <v>#5</v>
      </c>
      <c r="D139" s="42" t="str">
        <f ca="1">'Fruit Trees'!D129</f>
        <v>0.5-1.25"</v>
      </c>
      <c r="E139" s="42" t="str">
        <f ca="1">'Fruit Trees'!E129</f>
        <v>5-10'</v>
      </c>
      <c r="F139" s="52">
        <f ca="1">'Fruit Trees'!F129</f>
        <v>228</v>
      </c>
      <c r="G139" s="53">
        <f ca="1">'Fruit Trees'!G129</f>
        <v>55</v>
      </c>
      <c r="H139" s="51" t="str">
        <f t="shared" ca="1" si="0"/>
        <v>Pear - Bartlett #5</v>
      </c>
      <c r="I139" s="54"/>
      <c r="J139" s="55">
        <f t="shared" ca="1" si="1"/>
        <v>0</v>
      </c>
      <c r="K139" s="55"/>
    </row>
    <row r="140" spans="2:11" ht="12.75" x14ac:dyDescent="0.2">
      <c r="B140" s="51" t="str">
        <f ca="1">'Fruit Trees'!A130</f>
        <v>Pear - Bartlett</v>
      </c>
      <c r="C140" s="42" t="str">
        <f ca="1">'Fruit Trees'!C130</f>
        <v>#7</v>
      </c>
      <c r="D140" s="42" t="str">
        <f ca="1">'Fruit Trees'!D130</f>
        <v>1-1.75"</v>
      </c>
      <c r="E140" s="42" t="str">
        <f ca="1">'Fruit Trees'!E130</f>
        <v>6.5-11'</v>
      </c>
      <c r="F140" s="52">
        <f ca="1">'Fruit Trees'!F130</f>
        <v>162</v>
      </c>
      <c r="G140" s="53">
        <f ca="1">'Fruit Trees'!G130</f>
        <v>80</v>
      </c>
      <c r="H140" s="51" t="str">
        <f t="shared" ca="1" si="0"/>
        <v>Pear - Bartlett #7</v>
      </c>
      <c r="I140" s="54"/>
      <c r="J140" s="55">
        <f t="shared" ca="1" si="1"/>
        <v>0</v>
      </c>
      <c r="K140" s="55"/>
    </row>
    <row r="141" spans="2:11" ht="12.75" x14ac:dyDescent="0.2">
      <c r="B141" s="51" t="str">
        <f ca="1">'Fruit Trees'!A131</f>
        <v>Pear - Bartlett</v>
      </c>
      <c r="C141" s="42" t="str">
        <f ca="1">'Fruit Trees'!C131</f>
        <v>#10</v>
      </c>
      <c r="D141" s="42" t="str">
        <f ca="1">'Fruit Trees'!D131</f>
        <v>1-1.25"</v>
      </c>
      <c r="E141" s="42" t="str">
        <f ca="1">'Fruit Trees'!E131</f>
        <v>7-9'</v>
      </c>
      <c r="F141" s="52">
        <f ca="1">'Fruit Trees'!F131</f>
        <v>19</v>
      </c>
      <c r="G141" s="53">
        <f ca="1">'Fruit Trees'!G131</f>
        <v>100</v>
      </c>
      <c r="H141" s="51" t="str">
        <f t="shared" ca="1" si="0"/>
        <v>Pear - Bartlett #10</v>
      </c>
      <c r="I141" s="54"/>
      <c r="J141" s="55">
        <f t="shared" ca="1" si="1"/>
        <v>0</v>
      </c>
      <c r="K141" s="55"/>
    </row>
    <row r="142" spans="2:11" ht="12.75" x14ac:dyDescent="0.2">
      <c r="B142" s="51" t="str">
        <f ca="1">'Fruit Trees'!A132</f>
        <v>Pear - Golden Russet Bosc</v>
      </c>
      <c r="C142" s="42" t="str">
        <f ca="1">'Fruit Trees'!C132</f>
        <v>#5</v>
      </c>
      <c r="D142" s="42" t="str">
        <f ca="1">'Fruit Trees'!D132</f>
        <v>1-1.25"</v>
      </c>
      <c r="E142" s="42" t="str">
        <f ca="1">'Fruit Trees'!E132</f>
        <v>7-10'</v>
      </c>
      <c r="F142" s="52">
        <f ca="1">'Fruit Trees'!F132</f>
        <v>2</v>
      </c>
      <c r="G142" s="53">
        <f ca="1">'Fruit Trees'!G132</f>
        <v>55</v>
      </c>
      <c r="H142" s="51" t="str">
        <f t="shared" ca="1" si="0"/>
        <v>Pear - Golden Russet Bosc #5</v>
      </c>
      <c r="I142" s="54"/>
      <c r="J142" s="55">
        <f t="shared" ca="1" si="1"/>
        <v>0</v>
      </c>
      <c r="K142" s="55"/>
    </row>
    <row r="143" spans="2:11" ht="12.75" x14ac:dyDescent="0.2">
      <c r="B143" s="51" t="str">
        <f ca="1">'Fruit Trees'!A133</f>
        <v>Pear - Golden Russet Bosc</v>
      </c>
      <c r="C143" s="42" t="str">
        <f ca="1">'Fruit Trees'!C133</f>
        <v>#7</v>
      </c>
      <c r="D143" s="42" t="str">
        <f ca="1">'Fruit Trees'!D133</f>
        <v>0.75-1.25"</v>
      </c>
      <c r="E143" s="42" t="str">
        <f ca="1">'Fruit Trees'!E133</f>
        <v>6-11'</v>
      </c>
      <c r="F143" s="52">
        <f ca="1">'Fruit Trees'!F133</f>
        <v>25</v>
      </c>
      <c r="G143" s="53">
        <f ca="1">'Fruit Trees'!G133</f>
        <v>80</v>
      </c>
      <c r="H143" s="51" t="str">
        <f t="shared" ca="1" si="0"/>
        <v>Pear - Golden Russet Bosc #7</v>
      </c>
      <c r="I143" s="54"/>
      <c r="J143" s="55">
        <f t="shared" ca="1" si="1"/>
        <v>0</v>
      </c>
      <c r="K143" s="55"/>
    </row>
    <row r="144" spans="2:11" ht="12.75" x14ac:dyDescent="0.2">
      <c r="B144" s="51" t="str">
        <f ca="1">'Fruit Trees'!A134</f>
        <v>Pear - Harrowsweet</v>
      </c>
      <c r="C144" s="42" t="str">
        <f ca="1">'Fruit Trees'!C134</f>
        <v>#5</v>
      </c>
      <c r="D144" s="42" t="str">
        <f ca="1">'Fruit Trees'!D134</f>
        <v>0.5-1"</v>
      </c>
      <c r="E144" s="42" t="str">
        <f ca="1">'Fruit Trees'!E134</f>
        <v>6-8'</v>
      </c>
      <c r="F144" s="52">
        <f ca="1">'Fruit Trees'!F134</f>
        <v>44</v>
      </c>
      <c r="G144" s="53">
        <f ca="1">'Fruit Trees'!G134</f>
        <v>55</v>
      </c>
      <c r="H144" s="51" t="str">
        <f t="shared" ca="1" si="0"/>
        <v>Pear - Harrowsweet #5</v>
      </c>
      <c r="I144" s="54"/>
      <c r="J144" s="55">
        <f t="shared" ca="1" si="1"/>
        <v>0</v>
      </c>
      <c r="K144" s="55"/>
    </row>
    <row r="145" spans="2:11" ht="12.75" x14ac:dyDescent="0.2">
      <c r="B145" s="51" t="str">
        <f ca="1">'Fruit Trees'!A135</f>
        <v>Pear - Harrowsweet</v>
      </c>
      <c r="C145" s="42" t="str">
        <f ca="1">'Fruit Trees'!C135</f>
        <v>#7</v>
      </c>
      <c r="D145" s="42" t="str">
        <f ca="1">'Fruit Trees'!D135</f>
        <v>1-1.25"</v>
      </c>
      <c r="E145" s="42" t="str">
        <f ca="1">'Fruit Trees'!E135</f>
        <v>7-10'</v>
      </c>
      <c r="F145" s="52">
        <f ca="1">'Fruit Trees'!F135</f>
        <v>52</v>
      </c>
      <c r="G145" s="53">
        <f ca="1">'Fruit Trees'!G135</f>
        <v>80</v>
      </c>
      <c r="H145" s="51" t="str">
        <f t="shared" ca="1" si="0"/>
        <v>Pear - Harrowsweet #7</v>
      </c>
      <c r="I145" s="54"/>
      <c r="J145" s="55">
        <f t="shared" ca="1" si="1"/>
        <v>0</v>
      </c>
      <c r="K145" s="55"/>
    </row>
    <row r="146" spans="2:11" ht="12.75" x14ac:dyDescent="0.2">
      <c r="B146" s="51" t="str">
        <f ca="1">'Fruit Trees'!A136</f>
        <v>Pear - Kieffer</v>
      </c>
      <c r="C146" s="42" t="str">
        <f ca="1">'Fruit Trees'!C136</f>
        <v>#5</v>
      </c>
      <c r="D146" s="42" t="str">
        <f ca="1">'Fruit Trees'!D136</f>
        <v>1-1.25"</v>
      </c>
      <c r="E146" s="42" t="str">
        <f ca="1">'Fruit Trees'!E136</f>
        <v>6-12'</v>
      </c>
      <c r="F146" s="52">
        <f ca="1">'Fruit Trees'!F136</f>
        <v>58</v>
      </c>
      <c r="G146" s="53">
        <f ca="1">'Fruit Trees'!G136</f>
        <v>55</v>
      </c>
      <c r="H146" s="51" t="str">
        <f t="shared" ca="1" si="0"/>
        <v>Pear - Kieffer #5</v>
      </c>
      <c r="I146" s="54"/>
      <c r="J146" s="55">
        <f t="shared" ca="1" si="1"/>
        <v>0</v>
      </c>
      <c r="K146" s="55"/>
    </row>
    <row r="147" spans="2:11" ht="12.75" x14ac:dyDescent="0.2">
      <c r="B147" s="51" t="str">
        <f ca="1">'Fruit Trees'!A137</f>
        <v>Pear - Kieffer</v>
      </c>
      <c r="C147" s="42" t="str">
        <f ca="1">'Fruit Trees'!C137</f>
        <v>#15</v>
      </c>
      <c r="D147" s="42" t="str">
        <f ca="1">'Fruit Trees'!D137</f>
        <v>1.5-1.75"</v>
      </c>
      <c r="E147" s="42" t="str">
        <f ca="1">'Fruit Trees'!E137</f>
        <v>11-12'</v>
      </c>
      <c r="F147" s="52">
        <f ca="1">'Fruit Trees'!F137</f>
        <v>3</v>
      </c>
      <c r="G147" s="53">
        <f ca="1">'Fruit Trees'!G137</f>
        <v>150</v>
      </c>
      <c r="H147" s="51" t="str">
        <f t="shared" ca="1" si="0"/>
        <v>Pear - Kieffer #15</v>
      </c>
      <c r="I147" s="54"/>
      <c r="J147" s="55">
        <f t="shared" ca="1" si="1"/>
        <v>0</v>
      </c>
      <c r="K147" s="55"/>
    </row>
    <row r="148" spans="2:11" ht="12.75" x14ac:dyDescent="0.2">
      <c r="B148" s="51" t="str">
        <f ca="1">'Fruit Trees'!A138</f>
        <v>Pear - Kieffer</v>
      </c>
      <c r="C148" s="42" t="str">
        <f ca="1">'Fruit Trees'!C138</f>
        <v>#7</v>
      </c>
      <c r="D148" s="42" t="str">
        <f ca="1">'Fruit Trees'!D138</f>
        <v>1-1.5"</v>
      </c>
      <c r="E148" s="42" t="str">
        <f ca="1">'Fruit Trees'!E138</f>
        <v>8-12'</v>
      </c>
      <c r="F148" s="52">
        <f ca="1">'Fruit Trees'!F138</f>
        <v>35</v>
      </c>
      <c r="G148" s="53">
        <f ca="1">'Fruit Trees'!G138</f>
        <v>80</v>
      </c>
      <c r="H148" s="51" t="str">
        <f t="shared" ca="1" si="0"/>
        <v>Pear - Kieffer #7</v>
      </c>
      <c r="I148" s="54"/>
      <c r="J148" s="55">
        <f t="shared" ca="1" si="1"/>
        <v>0</v>
      </c>
      <c r="K148" s="55"/>
    </row>
    <row r="149" spans="2:11" ht="12.75" x14ac:dyDescent="0.2">
      <c r="B149" s="51" t="str">
        <f ca="1">'Fruit Trees'!A139</f>
        <v>Pear - Kieffer</v>
      </c>
      <c r="C149" s="42" t="str">
        <f ca="1">'Fruit Trees'!C139</f>
        <v>#10</v>
      </c>
      <c r="D149" s="42" t="str">
        <f ca="1">'Fruit Trees'!D139</f>
        <v>1.25-1.5"</v>
      </c>
      <c r="E149" s="42" t="str">
        <f ca="1">'Fruit Trees'!E139</f>
        <v>8-10'</v>
      </c>
      <c r="F149" s="52">
        <f ca="1">'Fruit Trees'!F139</f>
        <v>1</v>
      </c>
      <c r="G149" s="53">
        <f ca="1">'Fruit Trees'!G139</f>
        <v>100</v>
      </c>
      <c r="H149" s="51" t="str">
        <f t="shared" ca="1" si="0"/>
        <v>Pear - Kieffer #10</v>
      </c>
      <c r="I149" s="54"/>
      <c r="J149" s="55">
        <f t="shared" ca="1" si="1"/>
        <v>0</v>
      </c>
      <c r="K149" s="55"/>
    </row>
    <row r="150" spans="2:11" ht="12.75" x14ac:dyDescent="0.2">
      <c r="B150" s="51" t="str">
        <f ca="1">'Fruit Trees'!A140</f>
        <v>Pear - Moonglow</v>
      </c>
      <c r="C150" s="42" t="str">
        <f ca="1">'Fruit Trees'!C140</f>
        <v>#5</v>
      </c>
      <c r="D150" s="42" t="str">
        <f ca="1">'Fruit Trees'!D140</f>
        <v>0.75-1"</v>
      </c>
      <c r="E150" s="42" t="str">
        <f ca="1">'Fruit Trees'!E140</f>
        <v>5-10'</v>
      </c>
      <c r="F150" s="52">
        <f ca="1">'Fruit Trees'!F140</f>
        <v>244</v>
      </c>
      <c r="G150" s="53">
        <f ca="1">'Fruit Trees'!G140</f>
        <v>55</v>
      </c>
      <c r="H150" s="51" t="str">
        <f t="shared" ca="1" si="0"/>
        <v>Pear - Moonglow #5</v>
      </c>
      <c r="I150" s="54"/>
      <c r="J150" s="55">
        <f t="shared" ca="1" si="1"/>
        <v>0</v>
      </c>
      <c r="K150" s="55"/>
    </row>
    <row r="151" spans="2:11" ht="12.75" x14ac:dyDescent="0.2">
      <c r="B151" s="51" t="str">
        <f ca="1">'Fruit Trees'!A141</f>
        <v>Pear - Moonglow</v>
      </c>
      <c r="C151" s="42" t="str">
        <f ca="1">'Fruit Trees'!C141</f>
        <v>#7</v>
      </c>
      <c r="D151" s="42" t="str">
        <f ca="1">'Fruit Trees'!D141</f>
        <v>0.75-1.5"</v>
      </c>
      <c r="E151" s="42" t="str">
        <f ca="1">'Fruit Trees'!E141</f>
        <v>6-10'</v>
      </c>
      <c r="F151" s="52">
        <f ca="1">'Fruit Trees'!F141</f>
        <v>31</v>
      </c>
      <c r="G151" s="53">
        <f ca="1">'Fruit Trees'!G141</f>
        <v>80</v>
      </c>
      <c r="H151" s="51" t="str">
        <f t="shared" ca="1" si="0"/>
        <v>Pear - Moonglow #7</v>
      </c>
      <c r="I151" s="54"/>
      <c r="J151" s="55">
        <f t="shared" ca="1" si="1"/>
        <v>0</v>
      </c>
      <c r="K151" s="55"/>
    </row>
    <row r="152" spans="2:11" ht="12.75" x14ac:dyDescent="0.2">
      <c r="B152" s="51" t="str">
        <f ca="1">'Fruit Trees'!A142</f>
        <v>Pear - Moonglow</v>
      </c>
      <c r="C152" s="42" t="str">
        <f ca="1">'Fruit Trees'!C142</f>
        <v>#10</v>
      </c>
      <c r="D152" s="42" t="str">
        <f ca="1">'Fruit Trees'!D142</f>
        <v>1.5-1.75"</v>
      </c>
      <c r="E152" s="42" t="str">
        <f ca="1">'Fruit Trees'!E142</f>
        <v>8.5-10'</v>
      </c>
      <c r="F152" s="52">
        <f ca="1">'Fruit Trees'!F142</f>
        <v>15</v>
      </c>
      <c r="G152" s="53">
        <f ca="1">'Fruit Trees'!G142</f>
        <v>100</v>
      </c>
      <c r="H152" s="51" t="str">
        <f t="shared" ca="1" si="0"/>
        <v>Pear - Moonglow #10</v>
      </c>
      <c r="I152" s="54"/>
      <c r="J152" s="55">
        <f t="shared" ca="1" si="1"/>
        <v>0</v>
      </c>
      <c r="K152" s="55"/>
    </row>
    <row r="153" spans="2:11" ht="12.75" x14ac:dyDescent="0.2">
      <c r="B153" s="51" t="str">
        <f ca="1">'Fruit Trees'!A143</f>
        <v>Pear - Potomac</v>
      </c>
      <c r="C153" s="42" t="str">
        <f ca="1">'Fruit Trees'!C143</f>
        <v>#7</v>
      </c>
      <c r="D153" s="42" t="str">
        <f ca="1">'Fruit Trees'!D143</f>
        <v>1-1.25"</v>
      </c>
      <c r="E153" s="42" t="str">
        <f ca="1">'Fruit Trees'!E143</f>
        <v>7-10'</v>
      </c>
      <c r="F153" s="52">
        <f ca="1">'Fruit Trees'!F143</f>
        <v>21</v>
      </c>
      <c r="G153" s="53">
        <f ca="1">'Fruit Trees'!G143</f>
        <v>80</v>
      </c>
      <c r="H153" s="51" t="str">
        <f t="shared" ca="1" si="0"/>
        <v>Pear - Potomac #7</v>
      </c>
      <c r="I153" s="54"/>
      <c r="J153" s="55">
        <f t="shared" ca="1" si="1"/>
        <v>0</v>
      </c>
      <c r="K153" s="55"/>
    </row>
    <row r="154" spans="2:11" ht="12.75" x14ac:dyDescent="0.2">
      <c r="B154" s="51" t="str">
        <f ca="1">'Fruit Trees'!A144</f>
        <v>Persimmon - Fuyu</v>
      </c>
      <c r="C154" s="42" t="str">
        <f ca="1">'Fruit Trees'!C144</f>
        <v>#5</v>
      </c>
      <c r="D154" s="42" t="str">
        <f ca="1">'Fruit Trees'!D144</f>
        <v>0.5-1"</v>
      </c>
      <c r="E154" s="42" t="str">
        <f ca="1">'Fruit Trees'!E144</f>
        <v>4-8'</v>
      </c>
      <c r="F154" s="52">
        <f ca="1">'Fruit Trees'!F144</f>
        <v>204</v>
      </c>
      <c r="G154" s="53">
        <f ca="1">'Fruit Trees'!G144</f>
        <v>100</v>
      </c>
      <c r="H154" s="51" t="str">
        <f t="shared" ca="1" si="0"/>
        <v>Persimmon - Fuyu #5</v>
      </c>
      <c r="I154" s="54"/>
      <c r="J154" s="55">
        <f t="shared" ca="1" si="1"/>
        <v>0</v>
      </c>
      <c r="K154" s="55"/>
    </row>
    <row r="155" spans="2:11" ht="12.75" x14ac:dyDescent="0.2">
      <c r="B155" s="51" t="str">
        <f ca="1">'Fruit Trees'!A145</f>
        <v>Persimmon - Fuyu</v>
      </c>
      <c r="C155" s="42" t="str">
        <f ca="1">'Fruit Trees'!C145</f>
        <v>#7</v>
      </c>
      <c r="D155" s="42" t="str">
        <f ca="1">'Fruit Trees'!D145</f>
        <v>0.5-0.75"</v>
      </c>
      <c r="E155" s="42" t="str">
        <f ca="1">'Fruit Trees'!E145</f>
        <v>3-5'</v>
      </c>
      <c r="F155" s="52">
        <f ca="1">'Fruit Trees'!F145</f>
        <v>1</v>
      </c>
      <c r="G155" s="53">
        <f ca="1">'Fruit Trees'!G145</f>
        <v>100</v>
      </c>
      <c r="H155" s="51" t="str">
        <f t="shared" ca="1" si="0"/>
        <v>Persimmon - Fuyu #7</v>
      </c>
      <c r="I155" s="54"/>
      <c r="J155" s="55">
        <f t="shared" ca="1" si="1"/>
        <v>0</v>
      </c>
      <c r="K155" s="55"/>
    </row>
    <row r="156" spans="2:11" ht="12.75" x14ac:dyDescent="0.2">
      <c r="B156" s="51" t="str">
        <f ca="1">'Fruit Trees'!A146</f>
        <v>Persimmon - Giant Fuyu</v>
      </c>
      <c r="C156" s="42" t="str">
        <f ca="1">'Fruit Trees'!C146</f>
        <v>#5</v>
      </c>
      <c r="D156" s="42" t="str">
        <f ca="1">'Fruit Trees'!D146</f>
        <v>0.5-1"</v>
      </c>
      <c r="E156" s="42" t="str">
        <f ca="1">'Fruit Trees'!E146</f>
        <v>4-7'</v>
      </c>
      <c r="F156" s="52">
        <f ca="1">'Fruit Trees'!F146</f>
        <v>29</v>
      </c>
      <c r="G156" s="53">
        <f ca="1">'Fruit Trees'!G146</f>
        <v>100</v>
      </c>
      <c r="H156" s="51" t="str">
        <f t="shared" ca="1" si="0"/>
        <v>Persimmon - Giant Fuyu #5</v>
      </c>
      <c r="I156" s="54"/>
      <c r="J156" s="55">
        <f t="shared" ca="1" si="1"/>
        <v>0</v>
      </c>
      <c r="K156" s="55"/>
    </row>
    <row r="157" spans="2:11" ht="12.75" x14ac:dyDescent="0.2">
      <c r="B157" s="51" t="str">
        <f ca="1">'Fruit Trees'!A147</f>
        <v>Persimmon - Hachiya</v>
      </c>
      <c r="C157" s="42" t="str">
        <f ca="1">'Fruit Trees'!C147</f>
        <v>#5</v>
      </c>
      <c r="D157" s="42" t="str">
        <f ca="1">'Fruit Trees'!D147</f>
        <v>0.75-1"</v>
      </c>
      <c r="E157" s="42" t="str">
        <f ca="1">'Fruit Trees'!E147</f>
        <v>5-6'</v>
      </c>
      <c r="F157" s="52">
        <f ca="1">'Fruit Trees'!F147</f>
        <v>21</v>
      </c>
      <c r="G157" s="53">
        <f ca="1">'Fruit Trees'!G147</f>
        <v>100</v>
      </c>
      <c r="H157" s="51" t="str">
        <f t="shared" ca="1" si="0"/>
        <v>Persimmon - Hachiya #5</v>
      </c>
      <c r="I157" s="54"/>
      <c r="J157" s="55">
        <f t="shared" ca="1" si="1"/>
        <v>0</v>
      </c>
      <c r="K157" s="55"/>
    </row>
    <row r="158" spans="2:11" ht="12.75" x14ac:dyDescent="0.2">
      <c r="B158" s="51" t="str">
        <f ca="1">'Fruit Trees'!A148</f>
        <v>Persimmon - Lotus</v>
      </c>
      <c r="C158" s="42" t="str">
        <f ca="1">'Fruit Trees'!C148</f>
        <v>#5</v>
      </c>
      <c r="D158" s="42" t="str">
        <f ca="1">'Fruit Trees'!D148</f>
        <v>0.25-1"</v>
      </c>
      <c r="E158" s="42" t="str">
        <f ca="1">'Fruit Trees'!E148</f>
        <v>5-8'</v>
      </c>
      <c r="F158" s="52">
        <f ca="1">'Fruit Trees'!F148</f>
        <v>35</v>
      </c>
      <c r="G158" s="53">
        <f ca="1">'Fruit Trees'!G148</f>
        <v>50</v>
      </c>
      <c r="H158" s="51" t="str">
        <f t="shared" ca="1" si="0"/>
        <v>Persimmon - Lotus #5</v>
      </c>
      <c r="I158" s="54"/>
      <c r="J158" s="55">
        <f t="shared" ca="1" si="1"/>
        <v>0</v>
      </c>
      <c r="K158" s="55"/>
    </row>
    <row r="159" spans="2:11" ht="12.75" x14ac:dyDescent="0.2">
      <c r="B159" s="51" t="str">
        <f ca="1">'Fruit Trees'!A149</f>
        <v>Persimmon - Rosseyanka</v>
      </c>
      <c r="C159" s="42" t="str">
        <f ca="1">'Fruit Trees'!C149</f>
        <v>#7</v>
      </c>
      <c r="D159" s="42" t="str">
        <f ca="1">'Fruit Trees'!D149</f>
        <v>0.25-1"</v>
      </c>
      <c r="E159" s="42" t="str">
        <f ca="1">'Fruit Trees'!E149</f>
        <v>4-6.5'</v>
      </c>
      <c r="F159" s="52">
        <f ca="1">'Fruit Trees'!F149</f>
        <v>16</v>
      </c>
      <c r="G159" s="53">
        <f ca="1">'Fruit Trees'!G149</f>
        <v>100</v>
      </c>
      <c r="H159" s="51" t="str">
        <f t="shared" ca="1" si="0"/>
        <v>Persimmon - Rosseyanka #7</v>
      </c>
      <c r="I159" s="54"/>
      <c r="J159" s="55">
        <f t="shared" ca="1" si="1"/>
        <v>0</v>
      </c>
      <c r="K159" s="55"/>
    </row>
    <row r="160" spans="2:11" ht="12.75" x14ac:dyDescent="0.2">
      <c r="B160" s="51" t="str">
        <f ca="1">'Fruit Trees'!A150</f>
        <v>Plum - Green Gage</v>
      </c>
      <c r="C160" s="42" t="str">
        <f ca="1">'Fruit Trees'!C150</f>
        <v>#7</v>
      </c>
      <c r="D160" s="42" t="str">
        <f ca="1">'Fruit Trees'!D150</f>
        <v>1-1.5"</v>
      </c>
      <c r="E160" s="42" t="str">
        <f ca="1">'Fruit Trees'!E150</f>
        <v>10-12'</v>
      </c>
      <c r="F160" s="52">
        <f ca="1">'Fruit Trees'!F150</f>
        <v>46</v>
      </c>
      <c r="G160" s="53">
        <f ca="1">'Fruit Trees'!G150</f>
        <v>80</v>
      </c>
      <c r="H160" s="51" t="str">
        <f t="shared" ca="1" si="0"/>
        <v>Plum - Green Gage #7</v>
      </c>
      <c r="I160" s="54"/>
      <c r="J160" s="55">
        <f t="shared" ca="1" si="1"/>
        <v>0</v>
      </c>
      <c r="K160" s="55"/>
    </row>
    <row r="161" spans="2:11" ht="12.75" x14ac:dyDescent="0.2">
      <c r="B161" s="51" t="str">
        <f ca="1">'Fruit Trees'!A151</f>
        <v>Plum - NY9</v>
      </c>
      <c r="C161" s="42" t="str">
        <f ca="1">'Fruit Trees'!C151</f>
        <v>#5</v>
      </c>
      <c r="D161" s="42" t="str">
        <f ca="1">'Fruit Trees'!D151</f>
        <v>0.5-1"</v>
      </c>
      <c r="E161" s="42" t="str">
        <f ca="1">'Fruit Trees'!E151</f>
        <v>7-9'</v>
      </c>
      <c r="F161" s="52">
        <f ca="1">'Fruit Trees'!F151</f>
        <v>53</v>
      </c>
      <c r="G161" s="53">
        <f ca="1">'Fruit Trees'!G151</f>
        <v>80</v>
      </c>
      <c r="H161" s="51" t="str">
        <f t="shared" ca="1" si="0"/>
        <v>Plum - NY9 #5</v>
      </c>
      <c r="I161" s="54"/>
      <c r="J161" s="55">
        <f t="shared" ca="1" si="1"/>
        <v>0</v>
      </c>
      <c r="K161" s="55"/>
    </row>
    <row r="162" spans="2:11" ht="12.75" x14ac:dyDescent="0.2">
      <c r="B162" s="51" t="str">
        <f ca="1">'Fruit Trees'!A152</f>
        <v>Plum - NY9</v>
      </c>
      <c r="C162" s="42" t="str">
        <f ca="1">'Fruit Trees'!C152</f>
        <v>#7</v>
      </c>
      <c r="D162" s="42" t="str">
        <f ca="1">'Fruit Trees'!D152</f>
        <v>0.5-1.25"</v>
      </c>
      <c r="E162" s="42" t="str">
        <f ca="1">'Fruit Trees'!E152</f>
        <v>7-9.5'</v>
      </c>
      <c r="F162" s="52">
        <f ca="1">'Fruit Trees'!F152</f>
        <v>20</v>
      </c>
      <c r="G162" s="53">
        <f ca="1">'Fruit Trees'!G152</f>
        <v>80</v>
      </c>
      <c r="H162" s="51" t="str">
        <f t="shared" ca="1" si="0"/>
        <v>Plum - NY9 #7</v>
      </c>
      <c r="I162" s="54"/>
      <c r="J162" s="55">
        <f t="shared" ca="1" si="1"/>
        <v>0</v>
      </c>
      <c r="K162" s="55"/>
    </row>
    <row r="163" spans="2:11" ht="12.75" x14ac:dyDescent="0.2">
      <c r="B163" s="51" t="str">
        <f ca="1">'Fruit Trees'!A153</f>
        <v>Plum - Santa Rosa</v>
      </c>
      <c r="C163" s="42" t="str">
        <f ca="1">'Fruit Trees'!C153</f>
        <v>#5</v>
      </c>
      <c r="D163" s="42" t="str">
        <f ca="1">'Fruit Trees'!D153</f>
        <v>0.5-1.5"</v>
      </c>
      <c r="E163" s="42" t="str">
        <f ca="1">'Fruit Trees'!E153</f>
        <v>5-12'</v>
      </c>
      <c r="F163" s="52">
        <f ca="1">'Fruit Trees'!F153</f>
        <v>92</v>
      </c>
      <c r="G163" s="53">
        <f ca="1">'Fruit Trees'!G153</f>
        <v>55</v>
      </c>
      <c r="H163" s="51" t="str">
        <f t="shared" ca="1" si="0"/>
        <v>Plum - Santa Rosa #5</v>
      </c>
      <c r="I163" s="54"/>
      <c r="J163" s="55">
        <f t="shared" ca="1" si="1"/>
        <v>0</v>
      </c>
      <c r="K163" s="55"/>
    </row>
    <row r="164" spans="2:11" ht="12.75" x14ac:dyDescent="0.2">
      <c r="B164" s="51" t="str">
        <f ca="1">'Fruit Trees'!A154</f>
        <v>Plum - Santa Rosa</v>
      </c>
      <c r="C164" s="42" t="str">
        <f ca="1">'Fruit Trees'!C154</f>
        <v>#7</v>
      </c>
      <c r="D164" s="42" t="str">
        <f ca="1">'Fruit Trees'!D154</f>
        <v>0.75-1.25"</v>
      </c>
      <c r="E164" s="42" t="str">
        <f ca="1">'Fruit Trees'!E154</f>
        <v>5-7'</v>
      </c>
      <c r="F164" s="52">
        <f ca="1">'Fruit Trees'!F154</f>
        <v>34</v>
      </c>
      <c r="G164" s="53">
        <f ca="1">'Fruit Trees'!G154</f>
        <v>80</v>
      </c>
      <c r="H164" s="51" t="str">
        <f t="shared" ca="1" si="0"/>
        <v>Plum - Santa Rosa #7</v>
      </c>
      <c r="I164" s="54"/>
      <c r="J164" s="55">
        <f t="shared" ca="1" si="1"/>
        <v>0</v>
      </c>
      <c r="K164" s="55"/>
    </row>
    <row r="165" spans="2:11" ht="12.75" x14ac:dyDescent="0.2">
      <c r="B165" s="51" t="str">
        <f ca="1">'Fruit Trees'!A155</f>
        <v>Plum - Stanley (Prune)</v>
      </c>
      <c r="C165" s="42" t="str">
        <f ca="1">'Fruit Trees'!C155</f>
        <v>#5</v>
      </c>
      <c r="D165" s="42" t="str">
        <f ca="1">'Fruit Trees'!D155</f>
        <v>0.75-1.25"</v>
      </c>
      <c r="E165" s="42" t="str">
        <f ca="1">'Fruit Trees'!E155</f>
        <v>5-7'</v>
      </c>
      <c r="F165" s="52">
        <f ca="1">'Fruit Trees'!F155</f>
        <v>73</v>
      </c>
      <c r="G165" s="53">
        <f ca="1">'Fruit Trees'!G155</f>
        <v>55</v>
      </c>
      <c r="H165" s="51" t="str">
        <f t="shared" ca="1" si="0"/>
        <v>Plum - Stanley (Prune) #5</v>
      </c>
      <c r="I165" s="54"/>
      <c r="J165" s="55">
        <f t="shared" ca="1" si="1"/>
        <v>0</v>
      </c>
      <c r="K165" s="55"/>
    </row>
    <row r="166" spans="2:11" ht="12.75" x14ac:dyDescent="0.2">
      <c r="B166" s="51" t="str">
        <f ca="1">'Fruit Trees'!A156</f>
        <v>Raspberry - Heritage (Red)</v>
      </c>
      <c r="C166" s="42" t="str">
        <f ca="1">'Fruit Trees'!C156</f>
        <v>#5</v>
      </c>
      <c r="D166" s="42" t="str">
        <f ca="1">'Fruit Trees'!D156</f>
        <v>Multi</v>
      </c>
      <c r="E166" s="42" t="str">
        <f ca="1">'Fruit Trees'!E156</f>
        <v>0.5-2.5'</v>
      </c>
      <c r="F166" s="52">
        <f ca="1">'Fruit Trees'!F156</f>
        <v>273</v>
      </c>
      <c r="G166" s="53">
        <f ca="1">'Fruit Trees'!G156</f>
        <v>35</v>
      </c>
      <c r="H166" s="51" t="str">
        <f t="shared" ca="1" si="0"/>
        <v>Raspberry - Heritage (Red) #5</v>
      </c>
      <c r="I166" s="54"/>
      <c r="J166" s="55">
        <f t="shared" ca="1" si="1"/>
        <v>0</v>
      </c>
      <c r="K166" s="55"/>
    </row>
    <row r="167" spans="2:11" ht="12.75" x14ac:dyDescent="0.2">
      <c r="B167" s="51" t="str">
        <f ca="1">'Fruit Trees'!A157</f>
        <v>Raspberry - Nantahala</v>
      </c>
      <c r="C167" s="42" t="str">
        <f ca="1">'Fruit Trees'!C157</f>
        <v>#5</v>
      </c>
      <c r="D167" s="42" t="str">
        <f ca="1">'Fruit Trees'!D157</f>
        <v>Multi</v>
      </c>
      <c r="E167" s="42" t="str">
        <f ca="1">'Fruit Trees'!E157</f>
        <v>1-2'</v>
      </c>
      <c r="F167" s="52">
        <f ca="1">'Fruit Trees'!F157</f>
        <v>55</v>
      </c>
      <c r="G167" s="53">
        <f ca="1">'Fruit Trees'!G157</f>
        <v>35</v>
      </c>
      <c r="H167" s="51" t="str">
        <f t="shared" ca="1" si="0"/>
        <v>Raspberry - Nantahala #5</v>
      </c>
      <c r="I167" s="54"/>
      <c r="J167" s="55">
        <f t="shared" ca="1" si="1"/>
        <v>0</v>
      </c>
      <c r="K167" s="55"/>
    </row>
    <row r="168" spans="2:11" ht="12.75" x14ac:dyDescent="0.2">
      <c r="B168" s="51" t="str">
        <f ca="1">'Fruit Trees'!A158</f>
        <v>Raspberry - Royalty (Purple)</v>
      </c>
      <c r="C168" s="42" t="str">
        <f ca="1">'Fruit Trees'!C158</f>
        <v>#5</v>
      </c>
      <c r="D168" s="42" t="str">
        <f ca="1">'Fruit Trees'!D158</f>
        <v>Vine</v>
      </c>
      <c r="E168" s="42" t="str">
        <f ca="1">'Fruit Trees'!E158</f>
        <v>2-4'</v>
      </c>
      <c r="F168" s="52">
        <f ca="1">'Fruit Trees'!F158</f>
        <v>30</v>
      </c>
      <c r="G168" s="53">
        <f ca="1">'Fruit Trees'!G158</f>
        <v>35</v>
      </c>
      <c r="H168" s="51" t="str">
        <f t="shared" ca="1" si="0"/>
        <v>Raspberry - Royalty (Purple) #5</v>
      </c>
      <c r="I168" s="54"/>
      <c r="J168" s="55">
        <f t="shared" ca="1" si="1"/>
        <v>0</v>
      </c>
      <c r="K168" s="55"/>
    </row>
    <row r="169" spans="2:11" ht="12.75" x14ac:dyDescent="0.2">
      <c r="B169" s="51" t="str">
        <f ca="1">'Fruit Trees'!A159</f>
        <v>Raspberry (Yellow) - Anne</v>
      </c>
      <c r="C169" s="42" t="str">
        <f ca="1">'Fruit Trees'!C159</f>
        <v>#5</v>
      </c>
      <c r="D169" s="42" t="str">
        <f ca="1">'Fruit Trees'!D159</f>
        <v>Multi</v>
      </c>
      <c r="E169" s="42" t="str">
        <f ca="1">'Fruit Trees'!E159</f>
        <v>1-3'</v>
      </c>
      <c r="F169" s="52">
        <f ca="1">'Fruit Trees'!F159</f>
        <v>67</v>
      </c>
      <c r="G169" s="53">
        <f ca="1">'Fruit Trees'!G159</f>
        <v>35</v>
      </c>
      <c r="H169" s="51" t="str">
        <f t="shared" ca="1" si="0"/>
        <v>Raspberry (Yellow) - Anne #5</v>
      </c>
      <c r="I169" s="54"/>
      <c r="J169" s="55">
        <f t="shared" ca="1" si="1"/>
        <v>0</v>
      </c>
      <c r="K169" s="55"/>
    </row>
    <row r="170" spans="2:11" ht="12.75" x14ac:dyDescent="0.2">
      <c r="B170" s="51" t="str">
        <f ca="1">'Fruit Trees'!A160</f>
        <v>Stone Fruits - Misshapen/Damaged Trees (Discounted)</v>
      </c>
      <c r="C170" s="42" t="str">
        <f ca="1">'Fruit Trees'!C160</f>
        <v>#5</v>
      </c>
      <c r="D170" s="42" t="str">
        <f ca="1">'Fruit Trees'!D160</f>
        <v>0-0"</v>
      </c>
      <c r="E170" s="42" t="str">
        <f ca="1">'Fruit Trees'!E160</f>
        <v>0-0'</v>
      </c>
      <c r="F170" s="52">
        <f ca="1">'Fruit Trees'!F160</f>
        <v>172</v>
      </c>
      <c r="G170" s="53">
        <f ca="1">'Fruit Trees'!G160</f>
        <v>30</v>
      </c>
      <c r="H170" s="51" t="str">
        <f t="shared" ca="1" si="0"/>
        <v>Stone Fruits - Misshapen/Damaged Trees (Discounted) #5</v>
      </c>
      <c r="I170" s="54"/>
      <c r="J170" s="55">
        <f t="shared" ca="1" si="1"/>
        <v>0</v>
      </c>
      <c r="K170" s="55"/>
    </row>
    <row r="171" spans="2:11" ht="12.75" x14ac:dyDescent="0.2">
      <c r="B171" s="51" t="str">
        <f ca="1">'Fruit Trees'!A161</f>
        <v>Walnut - Mesa Carpathian</v>
      </c>
      <c r="C171" s="42" t="str">
        <f ca="1">'Fruit Trees'!C161</f>
        <v>#5 Tall Plastic</v>
      </c>
      <c r="D171" s="42" t="str">
        <f ca="1">'Fruit Trees'!D161</f>
        <v>1-1.5"</v>
      </c>
      <c r="E171" s="42" t="str">
        <f ca="1">'Fruit Trees'!E161</f>
        <v>6-7'</v>
      </c>
      <c r="F171" s="52">
        <f ca="1">'Fruit Trees'!F161</f>
        <v>8</v>
      </c>
      <c r="G171" s="53">
        <f ca="1">'Fruit Trees'!G161</f>
        <v>100</v>
      </c>
      <c r="H171" s="51" t="str">
        <f t="shared" ca="1" si="0"/>
        <v>Walnut - Mesa Carpathian #5 Tall Plastic</v>
      </c>
      <c r="I171" s="54"/>
      <c r="J171" s="55">
        <f t="shared" ca="1" si="1"/>
        <v>0</v>
      </c>
      <c r="K171" s="55"/>
    </row>
    <row r="172" spans="2:11" ht="12.75" x14ac:dyDescent="0.2">
      <c r="B172" s="51" t="str">
        <f ca="1">'Fruit Trees'!A162</f>
        <v>zx - 1.5"x1.5"x6' Stakes</v>
      </c>
      <c r="C172" s="42">
        <f>'Fruit Trees'!C162</f>
        <v>0</v>
      </c>
      <c r="D172" s="42" t="str">
        <f ca="1">'Fruit Trees'!D162</f>
        <v>0-0"</v>
      </c>
      <c r="E172" s="42" t="str">
        <f ca="1">'Fruit Trees'!E162</f>
        <v>0-0'</v>
      </c>
      <c r="F172" s="52">
        <f ca="1">'Fruit Trees'!F162</f>
        <v>2408</v>
      </c>
      <c r="G172" s="53">
        <f ca="1">'Fruit Trees'!G162</f>
        <v>3</v>
      </c>
      <c r="H172" s="51" t="str">
        <f t="shared" ca="1" si="0"/>
        <v>zx - 1.5"x1.5"x6' Stakes 0</v>
      </c>
      <c r="I172" s="54"/>
      <c r="J172" s="55">
        <f t="shared" ca="1" si="1"/>
        <v>0</v>
      </c>
      <c r="K172" s="55"/>
    </row>
    <row r="173" spans="2:11" ht="12.75" x14ac:dyDescent="0.2">
      <c r="B173" s="51" t="str">
        <f ca="1">'Fruit Trees'!A163</f>
        <v>zx - 10' Orchard Ladder (extendable leg)</v>
      </c>
      <c r="C173" s="42">
        <f>'Fruit Trees'!C163</f>
        <v>0</v>
      </c>
      <c r="D173" s="42" t="str">
        <f ca="1">'Fruit Trees'!D163</f>
        <v>0-0"</v>
      </c>
      <c r="E173" s="42" t="str">
        <f ca="1">'Fruit Trees'!E163</f>
        <v>0-0'</v>
      </c>
      <c r="F173" s="52">
        <f ca="1">'Fruit Trees'!F163</f>
        <v>11</v>
      </c>
      <c r="G173" s="53">
        <f ca="1">'Fruit Trees'!G163</f>
        <v>500</v>
      </c>
      <c r="H173" s="51" t="str">
        <f t="shared" ca="1" si="0"/>
        <v>zx - 10' Orchard Ladder (extendable leg) 0</v>
      </c>
      <c r="I173" s="54"/>
      <c r="J173" s="55">
        <f t="shared" ca="1" si="1"/>
        <v>0</v>
      </c>
      <c r="K173" s="55"/>
    </row>
    <row r="174" spans="2:11" ht="12.75" x14ac:dyDescent="0.2">
      <c r="B174" s="51" t="str">
        <f ca="1">'Fruit Trees'!A164</f>
        <v>zx - 10' Orchard Ladder (fixed)</v>
      </c>
      <c r="C174" s="42">
        <f>'Fruit Trees'!C164</f>
        <v>0</v>
      </c>
      <c r="D174" s="42" t="str">
        <f ca="1">'Fruit Trees'!D164</f>
        <v>0-0"</v>
      </c>
      <c r="E174" s="42" t="str">
        <f ca="1">'Fruit Trees'!E164</f>
        <v>0-0'</v>
      </c>
      <c r="F174" s="52">
        <f ca="1">'Fruit Trees'!F164</f>
        <v>1</v>
      </c>
      <c r="G174" s="53">
        <f ca="1">'Fruit Trees'!G164</f>
        <v>435</v>
      </c>
      <c r="H174" s="51" t="str">
        <f t="shared" ca="1" si="0"/>
        <v>zx - 10' Orchard Ladder (fixed) 0</v>
      </c>
      <c r="I174" s="54"/>
      <c r="J174" s="55">
        <f t="shared" ca="1" si="1"/>
        <v>0</v>
      </c>
      <c r="K174" s="55"/>
    </row>
    <row r="175" spans="2:11" ht="12.75" x14ac:dyDescent="0.2">
      <c r="B175" s="51" t="str">
        <f ca="1">'Fruit Trees'!A165</f>
        <v>zx - 14' Orchard Ladder (extendable)</v>
      </c>
      <c r="C175" s="42">
        <f>'Fruit Trees'!C165</f>
        <v>0</v>
      </c>
      <c r="D175" s="42" t="str">
        <f ca="1">'Fruit Trees'!D165</f>
        <v>0-0"</v>
      </c>
      <c r="E175" s="42" t="str">
        <f ca="1">'Fruit Trees'!E165</f>
        <v>0-0'</v>
      </c>
      <c r="F175" s="52">
        <f ca="1">'Fruit Trees'!F165</f>
        <v>2</v>
      </c>
      <c r="G175" s="53">
        <f ca="1">'Fruit Trees'!G165</f>
        <v>620</v>
      </c>
      <c r="H175" s="51" t="str">
        <f t="shared" ca="1" si="0"/>
        <v>zx - 14' Orchard Ladder (extendable) 0</v>
      </c>
      <c r="I175" s="54"/>
      <c r="J175" s="55">
        <f t="shared" ca="1" si="1"/>
        <v>0</v>
      </c>
      <c r="K175" s="55"/>
    </row>
    <row r="176" spans="2:11" ht="12.75" x14ac:dyDescent="0.2">
      <c r="B176" s="51" t="str">
        <f ca="1">'Fruit Trees'!A166</f>
        <v>zx - 16' Orchard Ladder (fixed)</v>
      </c>
      <c r="C176" s="42">
        <f>'Fruit Trees'!C166</f>
        <v>0</v>
      </c>
      <c r="D176" s="42" t="str">
        <f ca="1">'Fruit Trees'!D166</f>
        <v>0-0"</v>
      </c>
      <c r="E176" s="42" t="str">
        <f ca="1">'Fruit Trees'!E166</f>
        <v>0-0'</v>
      </c>
      <c r="F176" s="52">
        <f ca="1">'Fruit Trees'!F166</f>
        <v>5</v>
      </c>
      <c r="G176" s="53">
        <f ca="1">'Fruit Trees'!G166</f>
        <v>600</v>
      </c>
      <c r="H176" s="51" t="str">
        <f t="shared" ca="1" si="0"/>
        <v>zx - 16' Orchard Ladder (fixed) 0</v>
      </c>
      <c r="I176" s="54"/>
      <c r="J176" s="55">
        <f t="shared" ca="1" si="1"/>
        <v>0</v>
      </c>
      <c r="K176" s="55"/>
    </row>
    <row r="177" spans="1:11" ht="12.75" x14ac:dyDescent="0.2">
      <c r="B177" s="51" t="str">
        <f ca="1">'Fruit Trees'!A167</f>
        <v>zx - 4' Bark Protector</v>
      </c>
      <c r="C177" s="42">
        <f>'Fruit Trees'!C167</f>
        <v>0</v>
      </c>
      <c r="D177" s="42" t="str">
        <f ca="1">'Fruit Trees'!D167</f>
        <v>0-0"</v>
      </c>
      <c r="E177" s="42" t="str">
        <f ca="1">'Fruit Trees'!E167</f>
        <v>0-0'</v>
      </c>
      <c r="F177" s="52">
        <f ca="1">'Fruit Trees'!F167</f>
        <v>745</v>
      </c>
      <c r="G177" s="53">
        <f ca="1">'Fruit Trees'!G167</f>
        <v>10</v>
      </c>
      <c r="H177" s="51" t="str">
        <f t="shared" ca="1" si="0"/>
        <v>zx - 4' Bark Protector 0</v>
      </c>
      <c r="I177" s="54"/>
      <c r="J177" s="55">
        <f t="shared" ca="1" si="1"/>
        <v>0</v>
      </c>
      <c r="K177" s="55"/>
    </row>
    <row r="178" spans="1:11" ht="12.75" x14ac:dyDescent="0.2">
      <c r="B178" s="51" t="str">
        <f ca="1">'Fruit Trees'!A168</f>
        <v>zx - 6' Orchard Ladder (extendable leg)</v>
      </c>
      <c r="C178" s="42">
        <f>'Fruit Trees'!C168</f>
        <v>0</v>
      </c>
      <c r="D178" s="42" t="str">
        <f ca="1">'Fruit Trees'!D168</f>
        <v>0-0"</v>
      </c>
      <c r="E178" s="42" t="str">
        <f ca="1">'Fruit Trees'!E168</f>
        <v>0-0'</v>
      </c>
      <c r="F178" s="52">
        <f ca="1">'Fruit Trees'!F168</f>
        <v>2</v>
      </c>
      <c r="G178" s="53">
        <f ca="1">'Fruit Trees'!G168</f>
        <v>400</v>
      </c>
      <c r="H178" s="51" t="str">
        <f t="shared" ca="1" si="0"/>
        <v>zx - 6' Orchard Ladder (extendable leg) 0</v>
      </c>
      <c r="I178" s="54"/>
      <c r="J178" s="55">
        <f t="shared" ca="1" si="1"/>
        <v>0</v>
      </c>
      <c r="K178" s="55"/>
    </row>
    <row r="179" spans="1:11" ht="12.75" x14ac:dyDescent="0.2">
      <c r="B179" s="51" t="str">
        <f ca="1">'Fruit Trees'!A172</f>
        <v>zx -Cages</v>
      </c>
      <c r="C179" s="42">
        <f>'Fruit Trees'!C172</f>
        <v>0</v>
      </c>
      <c r="D179" s="42" t="str">
        <f ca="1">'Fruit Trees'!D172</f>
        <v>0-0"</v>
      </c>
      <c r="E179" s="42" t="str">
        <f ca="1">'Fruit Trees'!E172</f>
        <v>0-0'</v>
      </c>
      <c r="F179" s="52">
        <f ca="1">'Fruit Trees'!F172</f>
        <v>934</v>
      </c>
      <c r="G179" s="53">
        <f ca="1">'Fruit Trees'!G172</f>
        <v>45</v>
      </c>
      <c r="H179" s="51" t="str">
        <f t="shared" ca="1" si="0"/>
        <v>zx -Cages 0</v>
      </c>
      <c r="I179" s="54"/>
      <c r="J179" s="55">
        <f t="shared" ca="1" si="1"/>
        <v>0</v>
      </c>
      <c r="K179" s="55"/>
    </row>
    <row r="180" spans="1:11" ht="12.75" x14ac:dyDescent="0.2">
      <c r="B180" s="51" t="str">
        <f ca="1">'Fruit Trees'!A173</f>
        <v>zx -Shade Tarp</v>
      </c>
      <c r="C180" s="42">
        <f>'Fruit Trees'!C173</f>
        <v>0</v>
      </c>
      <c r="D180" s="42" t="str">
        <f ca="1">'Fruit Trees'!D173</f>
        <v>0-0"</v>
      </c>
      <c r="E180" s="42" t="str">
        <f ca="1">'Fruit Trees'!E173</f>
        <v>0-0'</v>
      </c>
      <c r="F180" s="52">
        <f ca="1">'Fruit Trees'!F173</f>
        <v>49</v>
      </c>
      <c r="G180" s="53">
        <f ca="1">'Fruit Trees'!G173</f>
        <v>30</v>
      </c>
      <c r="H180" s="51" t="str">
        <f t="shared" ca="1" si="0"/>
        <v>zx -Shade Tarp 0</v>
      </c>
      <c r="I180" s="54"/>
      <c r="J180" s="55">
        <f t="shared" ca="1" si="1"/>
        <v>0</v>
      </c>
      <c r="K180" s="55"/>
    </row>
    <row r="181" spans="1:11" ht="12.75" x14ac:dyDescent="0.2">
      <c r="B181" s="51">
        <f>'Fruit Trees'!A174</f>
        <v>0</v>
      </c>
      <c r="C181" s="42">
        <f>'Fruit Trees'!C174</f>
        <v>0</v>
      </c>
      <c r="D181" s="42">
        <f>'Fruit Trees'!D174</f>
        <v>0</v>
      </c>
      <c r="E181" s="42">
        <f>'Fruit Trees'!E174</f>
        <v>0</v>
      </c>
      <c r="F181" s="42">
        <f>'Fruit Trees'!F174</f>
        <v>0</v>
      </c>
      <c r="G181" s="42">
        <f>'Fruit Trees'!G174</f>
        <v>0</v>
      </c>
      <c r="H181" s="51" t="str">
        <f t="shared" si="0"/>
        <v>0 0</v>
      </c>
      <c r="I181" s="54"/>
      <c r="J181" s="55">
        <f t="shared" si="1"/>
        <v>0</v>
      </c>
      <c r="K181" s="55"/>
    </row>
    <row r="182" spans="1:11" ht="12.75" x14ac:dyDescent="0.2">
      <c r="B182" s="51">
        <f>'Fruit Trees'!A175</f>
        <v>0</v>
      </c>
      <c r="C182" s="42">
        <f>'Fruit Trees'!C175</f>
        <v>0</v>
      </c>
      <c r="D182" s="42">
        <f>'Fruit Trees'!D175</f>
        <v>0</v>
      </c>
      <c r="E182" s="42">
        <f>'Fruit Trees'!E175</f>
        <v>0</v>
      </c>
      <c r="F182" s="42">
        <f>'Fruit Trees'!F175</f>
        <v>0</v>
      </c>
      <c r="G182" s="42">
        <f>'Fruit Trees'!G175</f>
        <v>0</v>
      </c>
      <c r="H182" s="51" t="str">
        <f t="shared" si="0"/>
        <v>0 0</v>
      </c>
      <c r="I182" s="54"/>
      <c r="J182" s="55">
        <f t="shared" si="1"/>
        <v>0</v>
      </c>
      <c r="K182" s="55"/>
    </row>
    <row r="183" spans="1:11" ht="12.75" x14ac:dyDescent="0.2">
      <c r="B183" s="51">
        <f>'Fruit Trees'!A176</f>
        <v>0</v>
      </c>
      <c r="C183" s="42">
        <f>'Fruit Trees'!C176</f>
        <v>0</v>
      </c>
      <c r="D183" s="42">
        <f>'Fruit Trees'!D176</f>
        <v>0</v>
      </c>
      <c r="E183" s="42">
        <f>'Fruit Trees'!E176</f>
        <v>0</v>
      </c>
      <c r="F183" s="42">
        <f>'Fruit Trees'!F176</f>
        <v>0</v>
      </c>
      <c r="G183" s="42">
        <f>'Fruit Trees'!G176</f>
        <v>0</v>
      </c>
      <c r="H183" s="51" t="str">
        <f t="shared" si="0"/>
        <v>0 0</v>
      </c>
      <c r="I183" s="54"/>
      <c r="J183" s="55">
        <f t="shared" si="1"/>
        <v>0</v>
      </c>
      <c r="K183" s="55"/>
    </row>
    <row r="184" spans="1:11" ht="12.75" x14ac:dyDescent="0.2">
      <c r="B184" s="51">
        <f>'Fruit Trees'!A177</f>
        <v>0</v>
      </c>
      <c r="C184" s="42">
        <f>'Fruit Trees'!C177</f>
        <v>0</v>
      </c>
      <c r="D184" s="42">
        <f>'Fruit Trees'!D177</f>
        <v>0</v>
      </c>
      <c r="E184" s="42">
        <f>'Fruit Trees'!E177</f>
        <v>0</v>
      </c>
      <c r="F184" s="42">
        <f>'Fruit Trees'!F177</f>
        <v>0</v>
      </c>
      <c r="G184" s="42">
        <f>'Fruit Trees'!G177</f>
        <v>0</v>
      </c>
      <c r="H184" s="51" t="str">
        <f t="shared" si="0"/>
        <v>0 0</v>
      </c>
      <c r="I184" s="54"/>
      <c r="J184" s="55">
        <f t="shared" si="1"/>
        <v>0</v>
      </c>
      <c r="K184" s="55"/>
    </row>
    <row r="185" spans="1:11" ht="12.75" x14ac:dyDescent="0.2">
      <c r="B185" s="51">
        <f>'Fruit Trees'!A178</f>
        <v>0</v>
      </c>
      <c r="C185" s="42">
        <f>'Fruit Trees'!C178</f>
        <v>0</v>
      </c>
      <c r="D185" s="42">
        <f>'Fruit Trees'!D178</f>
        <v>0</v>
      </c>
      <c r="E185" s="42">
        <f>'Fruit Trees'!E178</f>
        <v>0</v>
      </c>
      <c r="F185" s="42">
        <f>'Fruit Trees'!F178</f>
        <v>0</v>
      </c>
      <c r="G185" s="42">
        <f>'Fruit Trees'!G178</f>
        <v>0</v>
      </c>
      <c r="H185" s="51" t="str">
        <f t="shared" si="0"/>
        <v>0 0</v>
      </c>
      <c r="I185" s="54"/>
      <c r="J185" s="55">
        <f t="shared" si="1"/>
        <v>0</v>
      </c>
      <c r="K185" s="55"/>
    </row>
    <row r="186" spans="1:11" ht="12.75" x14ac:dyDescent="0.2">
      <c r="B186" s="51">
        <f>'Fruit Trees'!A179</f>
        <v>0</v>
      </c>
      <c r="C186" s="42">
        <f>'Fruit Trees'!C179</f>
        <v>0</v>
      </c>
      <c r="D186" s="42">
        <f>'Fruit Trees'!D179</f>
        <v>0</v>
      </c>
      <c r="E186" s="42">
        <f>'Fruit Trees'!E179</f>
        <v>0</v>
      </c>
      <c r="F186" s="42">
        <f>'Fruit Trees'!F179</f>
        <v>0</v>
      </c>
      <c r="G186" s="42">
        <f>'Fruit Trees'!G179</f>
        <v>0</v>
      </c>
      <c r="H186" s="51" t="str">
        <f t="shared" si="0"/>
        <v>0 0</v>
      </c>
      <c r="I186" s="54"/>
      <c r="J186" s="55">
        <f t="shared" si="1"/>
        <v>0</v>
      </c>
      <c r="K186" s="55"/>
    </row>
    <row r="187" spans="1:11" ht="45" x14ac:dyDescent="0.6">
      <c r="A187" s="56" t="s">
        <v>20</v>
      </c>
      <c r="B187" s="57"/>
      <c r="C187" s="42"/>
      <c r="D187" s="43"/>
      <c r="E187" s="43"/>
      <c r="F187" s="58"/>
      <c r="G187" s="58"/>
      <c r="H187" s="51" t="str">
        <f t="shared" si="0"/>
        <v xml:space="preserve"> </v>
      </c>
      <c r="I187" s="59"/>
      <c r="J187" s="55"/>
      <c r="K187" s="55"/>
    </row>
    <row r="188" spans="1:11" ht="12.75" x14ac:dyDescent="0.2">
      <c r="A188" s="47" t="str">
        <f ca="1">'Landscape Trees '!A1</f>
        <v>Latin Name</v>
      </c>
      <c r="B188" s="47" t="str">
        <f ca="1">'Landscape Trees '!C1</f>
        <v>Common Name</v>
      </c>
      <c r="C188" s="48" t="str">
        <f ca="1">'Landscape Trees '!D1</f>
        <v>Pot Size</v>
      </c>
      <c r="D188" s="48" t="str">
        <f ca="1">'Landscape Trees '!E1</f>
        <v xml:space="preserve">Caliper </v>
      </c>
      <c r="E188" s="48" t="str">
        <f ca="1">'Landscape Trees '!F1</f>
        <v xml:space="preserve">Height </v>
      </c>
      <c r="F188" s="48" t="str">
        <f ca="1">'Landscape Trees '!G1</f>
        <v xml:space="preserve">Quantity </v>
      </c>
      <c r="G188" s="48" t="str">
        <f ca="1">'Landscape Trees '!H1</f>
        <v>Price</v>
      </c>
      <c r="H188" s="51" t="str">
        <f t="shared" ca="1" si="0"/>
        <v>Common Name Pot Size</v>
      </c>
      <c r="I188" s="49" t="s">
        <v>18</v>
      </c>
      <c r="J188" s="50" t="s">
        <v>19</v>
      </c>
      <c r="K188" s="50"/>
    </row>
    <row r="189" spans="1:11" ht="12.75" x14ac:dyDescent="0.2">
      <c r="A189" s="51" t="str">
        <f ca="1">'Landscape Trees '!A2</f>
        <v>Acer campestre</v>
      </c>
      <c r="B189" s="51" t="str">
        <f ca="1">'Landscape Trees '!C2</f>
        <v>Hedge Maple</v>
      </c>
      <c r="C189" s="42" t="str">
        <f ca="1">'Landscape Trees '!D2</f>
        <v>#15</v>
      </c>
      <c r="D189" s="42" t="str">
        <f ca="1">'Landscape Trees '!E2</f>
        <v>0.75-2"</v>
      </c>
      <c r="E189" s="42" t="str">
        <f ca="1">'Landscape Trees '!F2</f>
        <v>8-14'</v>
      </c>
      <c r="F189" s="52">
        <f ca="1">'Landscape Trees '!G2</f>
        <v>11</v>
      </c>
      <c r="G189" s="53">
        <f ca="1">'Landscape Trees '!H2</f>
        <v>135</v>
      </c>
      <c r="H189" s="51" t="str">
        <f t="shared" ca="1" si="0"/>
        <v>Hedge Maple #15</v>
      </c>
      <c r="I189" s="54"/>
      <c r="J189" s="55">
        <f t="shared" ref="J189:J443" ca="1" si="2">I189*G189</f>
        <v>0</v>
      </c>
      <c r="K189" s="55"/>
    </row>
    <row r="190" spans="1:11" ht="12.75" x14ac:dyDescent="0.2">
      <c r="A190" s="51" t="str">
        <f ca="1">'Landscape Trees '!A3</f>
        <v>Acer griseum</v>
      </c>
      <c r="B190" s="51" t="str">
        <f ca="1">'Landscape Trees '!C3</f>
        <v>Paperbark Maple</v>
      </c>
      <c r="C190" s="42" t="str">
        <f ca="1">'Landscape Trees '!D3</f>
        <v>#5</v>
      </c>
      <c r="D190" s="42" t="str">
        <f ca="1">'Landscape Trees '!E3</f>
        <v>0.5-1"</v>
      </c>
      <c r="E190" s="42" t="str">
        <f ca="1">'Landscape Trees '!F3</f>
        <v>4.5-6'</v>
      </c>
      <c r="F190" s="52">
        <f ca="1">'Landscape Trees '!G3</f>
        <v>17</v>
      </c>
      <c r="G190" s="53">
        <f ca="1">'Landscape Trees '!H3</f>
        <v>70</v>
      </c>
      <c r="H190" s="51" t="str">
        <f t="shared" ca="1" si="0"/>
        <v>Paperbark Maple #5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'!A4</f>
        <v>Acer griseum</v>
      </c>
      <c r="B191" s="51" t="str">
        <f ca="1">'Landscape Trees '!C4</f>
        <v>Paperbark Maple</v>
      </c>
      <c r="C191" s="42" t="str">
        <f ca="1">'Landscape Trees '!D4</f>
        <v>#15</v>
      </c>
      <c r="D191" s="42" t="str">
        <f ca="1">'Landscape Trees '!E4</f>
        <v>1-1.5"</v>
      </c>
      <c r="E191" s="42" t="str">
        <f ca="1">'Landscape Trees '!F4</f>
        <v>7.5-10'</v>
      </c>
      <c r="F191" s="52">
        <f ca="1">'Landscape Trees '!G4</f>
        <v>5</v>
      </c>
      <c r="G191" s="53">
        <f ca="1">'Landscape Trees '!H4</f>
        <v>180</v>
      </c>
      <c r="H191" s="51" t="str">
        <f t="shared" ca="1" si="0"/>
        <v>Paperbark Maple #15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'!A5</f>
        <v>Acer negundo</v>
      </c>
      <c r="B192" s="51" t="str">
        <f ca="1">'Landscape Trees '!C5</f>
        <v>Boxelder Maple</v>
      </c>
      <c r="C192" s="42" t="str">
        <f ca="1">'Landscape Trees '!D5</f>
        <v>#7</v>
      </c>
      <c r="D192" s="42" t="str">
        <f ca="1">'Landscape Trees '!E5</f>
        <v>0.5-1.5"</v>
      </c>
      <c r="E192" s="42" t="str">
        <f ca="1">'Landscape Trees '!F5</f>
        <v>2-9'</v>
      </c>
      <c r="F192" s="52">
        <f ca="1">'Landscape Trees '!G5</f>
        <v>30</v>
      </c>
      <c r="G192" s="53">
        <f ca="1">'Landscape Trees '!H5</f>
        <v>50</v>
      </c>
      <c r="H192" s="51" t="str">
        <f t="shared" ca="1" si="0"/>
        <v>Boxelder Maple #7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'!A6</f>
        <v>Acer palmatum 'Bloodgood'</v>
      </c>
      <c r="B193" s="51" t="str">
        <f ca="1">'Landscape Trees '!C6</f>
        <v>Bloodgood Japanese Maple</v>
      </c>
      <c r="C193" s="42" t="str">
        <f ca="1">'Landscape Trees '!D6</f>
        <v>#5</v>
      </c>
      <c r="D193" s="42" t="str">
        <f ca="1">'Landscape Trees '!E6</f>
        <v>0.75-1"</v>
      </c>
      <c r="E193" s="42" t="str">
        <f ca="1">'Landscape Trees '!F6</f>
        <v>4-6'</v>
      </c>
      <c r="F193" s="52">
        <f ca="1">'Landscape Trees '!G6</f>
        <v>9</v>
      </c>
      <c r="G193" s="53">
        <f ca="1">'Landscape Trees '!H6</f>
        <v>70</v>
      </c>
      <c r="H193" s="51" t="str">
        <f t="shared" ca="1" si="0"/>
        <v>Bloodgood Japanese Maple #5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'!A7</f>
        <v>Acer palmatum 'Emperor I'</v>
      </c>
      <c r="B194" s="51" t="str">
        <f ca="1">'Landscape Trees '!C7</f>
        <v>Emperor I Japanese Maple</v>
      </c>
      <c r="C194" s="42" t="str">
        <f ca="1">'Landscape Trees '!D7</f>
        <v>#5</v>
      </c>
      <c r="D194" s="42" t="str">
        <f ca="1">'Landscape Trees '!E7</f>
        <v>0.5-1"</v>
      </c>
      <c r="E194" s="42" t="str">
        <f ca="1">'Landscape Trees '!F7</f>
        <v>5-6'</v>
      </c>
      <c r="F194" s="52">
        <f ca="1">'Landscape Trees '!G7</f>
        <v>22</v>
      </c>
      <c r="G194" s="53">
        <f ca="1">'Landscape Trees '!H7</f>
        <v>70</v>
      </c>
      <c r="H194" s="51" t="str">
        <f t="shared" ca="1" si="0"/>
        <v>Emperor I Japanese Maple #5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'!A8</f>
        <v>Acer palmatum 'Tamukeyama'</v>
      </c>
      <c r="B195" s="51" t="str">
        <f ca="1">'Landscape Trees '!C8</f>
        <v>Tamukeyama Japanese Maple</v>
      </c>
      <c r="C195" s="42" t="str">
        <f ca="1">'Landscape Trees '!D8</f>
        <v>#5</v>
      </c>
      <c r="D195" s="42" t="str">
        <f ca="1">'Landscape Trees '!E8</f>
        <v>0.25-1"</v>
      </c>
      <c r="E195" s="42" t="str">
        <f ca="1">'Landscape Trees '!F8</f>
        <v>2.5-5'</v>
      </c>
      <c r="F195" s="52">
        <f ca="1">'Landscape Trees '!G8</f>
        <v>30</v>
      </c>
      <c r="G195" s="53">
        <f ca="1">'Landscape Trees '!H8</f>
        <v>70</v>
      </c>
      <c r="H195" s="51" t="str">
        <f t="shared" ca="1" si="0"/>
        <v>Tamukeyama Japanese Maple #5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'!A9</f>
        <v>Acer platanoides 'Crimson King'</v>
      </c>
      <c r="B196" s="51" t="str">
        <f ca="1">'Landscape Trees '!C9</f>
        <v>Crimson King Norway Maple</v>
      </c>
      <c r="C196" s="42" t="str">
        <f ca="1">'Landscape Trees '!D9</f>
        <v>#15</v>
      </c>
      <c r="D196" s="42" t="str">
        <f ca="1">'Landscape Trees '!E9</f>
        <v>1.25-2"</v>
      </c>
      <c r="E196" s="42" t="str">
        <f ca="1">'Landscape Trees '!F9</f>
        <v>10-14'</v>
      </c>
      <c r="F196" s="52">
        <f ca="1">'Landscape Trees '!G9</f>
        <v>18</v>
      </c>
      <c r="G196" s="53">
        <f ca="1">'Landscape Trees '!H9</f>
        <v>135</v>
      </c>
      <c r="H196" s="51" t="str">
        <f t="shared" ca="1" si="0"/>
        <v>Crimson King Norway Maple #15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'!A10</f>
        <v>Acer platanoides 'Silver Variegated'</v>
      </c>
      <c r="B197" s="51" t="str">
        <f ca="1">'Landscape Trees '!C10</f>
        <v>Silver Variegated Norway Maple</v>
      </c>
      <c r="C197" s="42" t="str">
        <f ca="1">'Landscape Trees '!D10</f>
        <v>#15</v>
      </c>
      <c r="D197" s="42" t="str">
        <f ca="1">'Landscape Trees '!E10</f>
        <v>0.75-1.25"</v>
      </c>
      <c r="E197" s="42" t="str">
        <f ca="1">'Landscape Trees '!F10</f>
        <v>8-10'</v>
      </c>
      <c r="F197" s="52">
        <f ca="1">'Landscape Trees '!G10</f>
        <v>10</v>
      </c>
      <c r="G197" s="53">
        <f ca="1">'Landscape Trees '!H10</f>
        <v>135</v>
      </c>
      <c r="H197" s="51" t="str">
        <f t="shared" ca="1" si="0"/>
        <v>Silver Variegated Norway Maple #15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'!A11</f>
        <v>Acer rubrum</v>
      </c>
      <c r="B198" s="51" t="str">
        <f ca="1">'Landscape Trees '!C11</f>
        <v>Red Maple Native</v>
      </c>
      <c r="C198" s="42" t="str">
        <f ca="1">'Landscape Trees '!D11</f>
        <v>#5</v>
      </c>
      <c r="D198" s="42" t="str">
        <f ca="1">'Landscape Trees '!E11</f>
        <v>0.5-1.5"</v>
      </c>
      <c r="E198" s="42" t="str">
        <f ca="1">'Landscape Trees '!F11</f>
        <v>3-10'</v>
      </c>
      <c r="F198" s="52">
        <f ca="1">'Landscape Trees '!G11</f>
        <v>256</v>
      </c>
      <c r="G198" s="53">
        <f ca="1">'Landscape Trees '!H11</f>
        <v>50</v>
      </c>
      <c r="H198" s="51" t="str">
        <f t="shared" ca="1" si="0"/>
        <v>Red Maple Native #5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'!A12</f>
        <v>Acer rubrum</v>
      </c>
      <c r="B199" s="51" t="str">
        <f ca="1">'Landscape Trees '!C12</f>
        <v>Red Maple Cultivar</v>
      </c>
      <c r="C199" s="42" t="str">
        <f ca="1">'Landscape Trees '!D12</f>
        <v>#15</v>
      </c>
      <c r="D199" s="42" t="str">
        <f ca="1">'Landscape Trees '!E12</f>
        <v>1-1.75"</v>
      </c>
      <c r="E199" s="42" t="str">
        <f ca="1">'Landscape Trees '!F12</f>
        <v>9-12'</v>
      </c>
      <c r="F199" s="52">
        <f ca="1">'Landscape Trees '!G12</f>
        <v>42</v>
      </c>
      <c r="G199" s="53">
        <f ca="1">'Landscape Trees '!H12</f>
        <v>135</v>
      </c>
      <c r="H199" s="51" t="str">
        <f t="shared" ca="1" si="0"/>
        <v>Red Maple Cultivar #15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'!A13</f>
        <v xml:space="preserve">Acer rubrum </v>
      </c>
      <c r="B200" s="51" t="str">
        <f ca="1">'Landscape Trees '!C13</f>
        <v>Red Maple Cultivar</v>
      </c>
      <c r="C200" s="42" t="str">
        <f ca="1">'Landscape Trees '!D13</f>
        <v>#5</v>
      </c>
      <c r="D200" s="42" t="str">
        <f ca="1">'Landscape Trees '!E13</f>
        <v>0.75-1"</v>
      </c>
      <c r="E200" s="42" t="str">
        <f ca="1">'Landscape Trees '!F13</f>
        <v>6-7'</v>
      </c>
      <c r="F200" s="52">
        <f ca="1">'Landscape Trees '!G13</f>
        <v>49</v>
      </c>
      <c r="G200" s="53">
        <f ca="1">'Landscape Trees '!H13</f>
        <v>50</v>
      </c>
      <c r="H200" s="51" t="str">
        <f t="shared" ca="1" si="0"/>
        <v>Red Maple Cultivar #5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'!A14</f>
        <v>Acer rubrum 'Armstrong'</v>
      </c>
      <c r="B201" s="51" t="str">
        <f ca="1">'Landscape Trees '!C14</f>
        <v>Armstrong Red Maple</v>
      </c>
      <c r="C201" s="42" t="str">
        <f ca="1">'Landscape Trees '!D14</f>
        <v>#15</v>
      </c>
      <c r="D201" s="42" t="str">
        <f ca="1">'Landscape Trees '!E14</f>
        <v>1.75-1.75"</v>
      </c>
      <c r="E201" s="42" t="str">
        <f ca="1">'Landscape Trees '!F14</f>
        <v>14-14'</v>
      </c>
      <c r="F201" s="52">
        <f ca="1">'Landscape Trees '!G14</f>
        <v>1</v>
      </c>
      <c r="G201" s="53">
        <f ca="1">'Landscape Trees '!H14</f>
        <v>135</v>
      </c>
      <c r="H201" s="51" t="str">
        <f t="shared" ca="1" si="0"/>
        <v>Armstrong Red Maple #15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'!A15</f>
        <v>Acer rubrum 'Armstrong'</v>
      </c>
      <c r="B202" s="51" t="str">
        <f ca="1">'Landscape Trees '!C15</f>
        <v>Armstrong Red Maple</v>
      </c>
      <c r="C202" s="42" t="str">
        <f ca="1">'Landscape Trees '!D15</f>
        <v>#10</v>
      </c>
      <c r="D202" s="42" t="str">
        <f ca="1">'Landscape Trees '!E15</f>
        <v>0.75-1"</v>
      </c>
      <c r="E202" s="42" t="str">
        <f ca="1">'Landscape Trees '!F15</f>
        <v>6-8'</v>
      </c>
      <c r="F202" s="52">
        <f ca="1">'Landscape Trees '!G15</f>
        <v>5</v>
      </c>
      <c r="G202" s="53">
        <f ca="1">'Landscape Trees '!H15</f>
        <v>100</v>
      </c>
      <c r="H202" s="51" t="str">
        <f t="shared" ca="1" si="0"/>
        <v>Armstrong Red Maple #10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'!A16</f>
        <v>Acer rubrum 'Armstrong'</v>
      </c>
      <c r="B203" s="51" t="str">
        <f ca="1">'Landscape Trees '!C16</f>
        <v>Armstrong Red Maple</v>
      </c>
      <c r="C203" s="42" t="str">
        <f ca="1">'Landscape Trees '!D16</f>
        <v>#5</v>
      </c>
      <c r="D203" s="42" t="str">
        <f ca="1">'Landscape Trees '!E16</f>
        <v>0.5-1"</v>
      </c>
      <c r="E203" s="42" t="str">
        <f ca="1">'Landscape Trees '!F16</f>
        <v>3-6'</v>
      </c>
      <c r="F203" s="52">
        <f ca="1">'Landscape Trees '!G16</f>
        <v>24</v>
      </c>
      <c r="G203" s="53">
        <f ca="1">'Landscape Trees '!H16</f>
        <v>50</v>
      </c>
      <c r="H203" s="51" t="str">
        <f t="shared" ca="1" si="0"/>
        <v>Armstrong Red Maple #5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'!A17</f>
        <v>Acer saccharinum</v>
      </c>
      <c r="B204" s="51" t="str">
        <f ca="1">'Landscape Trees '!C17</f>
        <v>Silver Maple</v>
      </c>
      <c r="C204" s="42" t="str">
        <f ca="1">'Landscape Trees '!D17</f>
        <v>#5</v>
      </c>
      <c r="D204" s="42" t="str">
        <f ca="1">'Landscape Trees '!E17</f>
        <v>0.75-1.5"</v>
      </c>
      <c r="E204" s="42" t="str">
        <f ca="1">'Landscape Trees '!F17</f>
        <v>6-13'</v>
      </c>
      <c r="F204" s="52">
        <f ca="1">'Landscape Trees '!G17</f>
        <v>7</v>
      </c>
      <c r="G204" s="53">
        <f ca="1">'Landscape Trees '!H17</f>
        <v>50</v>
      </c>
      <c r="H204" s="51" t="str">
        <f t="shared" ca="1" si="0"/>
        <v>Silver Maple #5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'!A18</f>
        <v>Acer saccharum 'Bailsta'</v>
      </c>
      <c r="B205" s="51" t="str">
        <f ca="1">'Landscape Trees '!C18</f>
        <v>Fall Fiesta Sugar Maple</v>
      </c>
      <c r="C205" s="42" t="str">
        <f ca="1">'Landscape Trees '!D18</f>
        <v>#15</v>
      </c>
      <c r="D205" s="42" t="str">
        <f ca="1">'Landscape Trees '!E18</f>
        <v>1.25-2"</v>
      </c>
      <c r="E205" s="42" t="str">
        <f ca="1">'Landscape Trees '!F18</f>
        <v>8-13'</v>
      </c>
      <c r="F205" s="52">
        <f ca="1">'Landscape Trees '!G18</f>
        <v>12</v>
      </c>
      <c r="G205" s="53">
        <f ca="1">'Landscape Trees '!H18</f>
        <v>135</v>
      </c>
      <c r="H205" s="51" t="str">
        <f t="shared" ca="1" si="0"/>
        <v>Fall Fiesta Sugar Maple #15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'!A19</f>
        <v>Acer saccharum 'Bailsta'</v>
      </c>
      <c r="B206" s="51" t="str">
        <f ca="1">'Landscape Trees '!C19</f>
        <v>Fall Fiesta Sugar Maple</v>
      </c>
      <c r="C206" s="42" t="str">
        <f ca="1">'Landscape Trees '!D19</f>
        <v>#25</v>
      </c>
      <c r="D206" s="42" t="str">
        <f ca="1">'Landscape Trees '!E19</f>
        <v>1.5-2"</v>
      </c>
      <c r="E206" s="42" t="str">
        <f ca="1">'Landscape Trees '!F19</f>
        <v>10-15'</v>
      </c>
      <c r="F206" s="52">
        <f ca="1">'Landscape Trees '!G19</f>
        <v>15</v>
      </c>
      <c r="G206" s="53">
        <f ca="1">'Landscape Trees '!H19</f>
        <v>150</v>
      </c>
      <c r="H206" s="51" t="str">
        <f t="shared" ca="1" si="0"/>
        <v>Fall Fiesta Sugar Maple #25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'!A20</f>
        <v>Acer saccharum 'Green Mountain'</v>
      </c>
      <c r="B207" s="51" t="str">
        <f ca="1">'Landscape Trees '!C20</f>
        <v>Green Mountain Sugar Maple</v>
      </c>
      <c r="C207" s="42" t="str">
        <f ca="1">'Landscape Trees '!D20</f>
        <v>#15</v>
      </c>
      <c r="D207" s="42" t="str">
        <f ca="1">'Landscape Trees '!E20</f>
        <v>1.25-1.5"</v>
      </c>
      <c r="E207" s="42" t="str">
        <f ca="1">'Landscape Trees '!F20</f>
        <v>10-14'</v>
      </c>
      <c r="F207" s="52">
        <f ca="1">'Landscape Trees '!G20</f>
        <v>6</v>
      </c>
      <c r="G207" s="53">
        <f ca="1">'Landscape Trees '!H20</f>
        <v>135</v>
      </c>
      <c r="H207" s="51" t="str">
        <f t="shared" ca="1" si="0"/>
        <v>Green Mountain Sugar Maple #15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'!A21</f>
        <v>Acer tataricum 'Hot Wings'</v>
      </c>
      <c r="B208" s="51" t="str">
        <f ca="1">'Landscape Trees '!C21</f>
        <v>Hot Wings Maple</v>
      </c>
      <c r="C208" s="42" t="str">
        <f ca="1">'Landscape Trees '!D21</f>
        <v>#15</v>
      </c>
      <c r="D208" s="42" t="str">
        <f ca="1">'Landscape Trees '!E21</f>
        <v>1-1.75"</v>
      </c>
      <c r="E208" s="42" t="str">
        <f ca="1">'Landscape Trees '!F21</f>
        <v>9-13'</v>
      </c>
      <c r="F208" s="52">
        <f ca="1">'Landscape Trees '!G21</f>
        <v>13</v>
      </c>
      <c r="G208" s="53">
        <f ca="1">'Landscape Trees '!H21</f>
        <v>135</v>
      </c>
      <c r="H208" s="51" t="str">
        <f t="shared" ca="1" si="0"/>
        <v>Hot Wings Maple #15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'!A22</f>
        <v>Acer x freemanii</v>
      </c>
      <c r="B209" s="51" t="str">
        <f ca="1">'Landscape Trees '!C22</f>
        <v>Autumn Blaze Maple</v>
      </c>
      <c r="C209" s="42" t="str">
        <f ca="1">'Landscape Trees '!D22</f>
        <v>#5</v>
      </c>
      <c r="D209" s="42" t="str">
        <f ca="1">'Landscape Trees '!E22</f>
        <v>1-1.25"</v>
      </c>
      <c r="E209" s="42" t="str">
        <f ca="1">'Landscape Trees '!F22</f>
        <v>7-9'</v>
      </c>
      <c r="F209" s="52">
        <f ca="1">'Landscape Trees '!G22</f>
        <v>21</v>
      </c>
      <c r="G209" s="53">
        <f ca="1">'Landscape Trees '!H22</f>
        <v>50</v>
      </c>
      <c r="H209" s="51" t="str">
        <f t="shared" ca="1" si="0"/>
        <v>Autumn Blaze Maple #5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'!A23</f>
        <v>Acer x freemanii</v>
      </c>
      <c r="B210" s="51" t="str">
        <f ca="1">'Landscape Trees '!C23</f>
        <v>Autumn Blaze Maple</v>
      </c>
      <c r="C210" s="42" t="str">
        <f ca="1">'Landscape Trees '!D23</f>
        <v>#10</v>
      </c>
      <c r="D210" s="42" t="str">
        <f ca="1">'Landscape Trees '!E23</f>
        <v>0.75-1"</v>
      </c>
      <c r="E210" s="42" t="str">
        <f ca="1">'Landscape Trees '!F23</f>
        <v>8-9'</v>
      </c>
      <c r="F210" s="52">
        <f ca="1">'Landscape Trees '!G23</f>
        <v>1</v>
      </c>
      <c r="G210" s="53">
        <f ca="1">'Landscape Trees '!H23</f>
        <v>100</v>
      </c>
      <c r="H210" s="51" t="str">
        <f t="shared" ca="1" si="0"/>
        <v>Autumn Blaze Maple #10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'!A24</f>
        <v>Aesculus carnea 'Ft. McNair'</v>
      </c>
      <c r="B211" s="51" t="str">
        <f ca="1">'Landscape Trees '!C24</f>
        <v>Ft. McNair Horsechestnut</v>
      </c>
      <c r="C211" s="42" t="str">
        <f ca="1">'Landscape Trees '!D24</f>
        <v>#15</v>
      </c>
      <c r="D211" s="42" t="str">
        <f ca="1">'Landscape Trees '!E24</f>
        <v>1-1.5"</v>
      </c>
      <c r="E211" s="42" t="str">
        <f ca="1">'Landscape Trees '!F24</f>
        <v>7-8'</v>
      </c>
      <c r="F211" s="52">
        <f ca="1">'Landscape Trees '!G24</f>
        <v>2</v>
      </c>
      <c r="G211" s="53">
        <f ca="1">'Landscape Trees '!H24</f>
        <v>135</v>
      </c>
      <c r="H211" s="51" t="str">
        <f t="shared" ca="1" si="0"/>
        <v>Ft. McNair Horsechestnut #15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'!A25</f>
        <v>Aesculus parviflora</v>
      </c>
      <c r="B212" s="51" t="str">
        <f ca="1">'Landscape Trees '!C25</f>
        <v>Bottlebrush Buckeye</v>
      </c>
      <c r="C212" s="42" t="str">
        <f ca="1">'Landscape Trees '!D25</f>
        <v>#5</v>
      </c>
      <c r="D212" s="42" t="str">
        <f ca="1">'Landscape Trees '!E25</f>
        <v>Multi</v>
      </c>
      <c r="E212" s="42" t="str">
        <f ca="1">'Landscape Trees '!F25</f>
        <v>2-4.5'</v>
      </c>
      <c r="F212" s="52">
        <f ca="1">'Landscape Trees '!G25</f>
        <v>93</v>
      </c>
      <c r="G212" s="53">
        <f ca="1">'Landscape Trees '!H25</f>
        <v>50</v>
      </c>
      <c r="H212" s="51" t="str">
        <f t="shared" ca="1" si="0"/>
        <v>Bottlebrush Buckeye #5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'!A26</f>
        <v>Aesculus parviflora</v>
      </c>
      <c r="B213" s="51" t="str">
        <f ca="1">'Landscape Trees '!C26</f>
        <v>Bottlebrush Buckeye</v>
      </c>
      <c r="C213" s="42" t="str">
        <f ca="1">'Landscape Trees '!D26</f>
        <v>#10</v>
      </c>
      <c r="D213" s="42" t="str">
        <f ca="1">'Landscape Trees '!E26</f>
        <v>Multi</v>
      </c>
      <c r="E213" s="42" t="str">
        <f ca="1">'Landscape Trees '!F26</f>
        <v>4.5-5.5'</v>
      </c>
      <c r="F213" s="52">
        <f ca="1">'Landscape Trees '!G26</f>
        <v>17</v>
      </c>
      <c r="G213" s="53">
        <f ca="1">'Landscape Trees '!H26</f>
        <v>70</v>
      </c>
      <c r="H213" s="51" t="str">
        <f t="shared" ca="1" si="0"/>
        <v>Bottlebrush Buckeye #10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'!A27</f>
        <v>Albizia julibrissin 'E.H.Wilson'</v>
      </c>
      <c r="B214" s="51" t="str">
        <f ca="1">'Landscape Trees '!C27</f>
        <v>Cold Hardy Mimosa</v>
      </c>
      <c r="C214" s="42" t="str">
        <f ca="1">'Landscape Trees '!D27</f>
        <v>#5</v>
      </c>
      <c r="D214" s="42" t="str">
        <f ca="1">'Landscape Trees '!E27</f>
        <v>1.25-1.25"</v>
      </c>
      <c r="E214" s="42" t="str">
        <f ca="1">'Landscape Trees '!F27</f>
        <v>6-8'</v>
      </c>
      <c r="F214" s="52">
        <f ca="1">'Landscape Trees '!G27</f>
        <v>1</v>
      </c>
      <c r="G214" s="53">
        <f ca="1">'Landscape Trees '!H27</f>
        <v>50</v>
      </c>
      <c r="H214" s="51" t="str">
        <f t="shared" ca="1" si="0"/>
        <v>Cold Hardy Mimosa #5</v>
      </c>
      <c r="I214" s="54"/>
      <c r="J214" s="55">
        <f t="shared" ca="1" si="2"/>
        <v>0</v>
      </c>
      <c r="K214" s="55"/>
    </row>
    <row r="215" spans="1:11" ht="12.75" x14ac:dyDescent="0.2">
      <c r="A215" s="51" t="str">
        <f ca="1">'Landscape Trees '!A28</f>
        <v>Amelanchier grandiflora 'Autumn Brilliance'</v>
      </c>
      <c r="B215" s="51" t="str">
        <f ca="1">'Landscape Trees '!C28</f>
        <v>Autumn Brilliance Serviceberry</v>
      </c>
      <c r="C215" s="42" t="str">
        <f ca="1">'Landscape Trees '!D28</f>
        <v>#5</v>
      </c>
      <c r="D215" s="42" t="str">
        <f ca="1">'Landscape Trees '!E28</f>
        <v>Multi</v>
      </c>
      <c r="E215" s="42" t="str">
        <f ca="1">'Landscape Trees '!F28</f>
        <v>3-8'</v>
      </c>
      <c r="F215" s="52">
        <f ca="1">'Landscape Trees '!G28</f>
        <v>81</v>
      </c>
      <c r="G215" s="53">
        <f ca="1">'Landscape Trees '!H28</f>
        <v>50</v>
      </c>
      <c r="H215" s="51" t="str">
        <f t="shared" ca="1" si="0"/>
        <v>Autumn Brilliance Serviceberry #5</v>
      </c>
      <c r="I215" s="54"/>
      <c r="J215" s="55">
        <f t="shared" ca="1" si="2"/>
        <v>0</v>
      </c>
      <c r="K215" s="55"/>
    </row>
    <row r="216" spans="1:11" ht="12.75" x14ac:dyDescent="0.2">
      <c r="A216" s="51" t="str">
        <f ca="1">'Landscape Trees '!A29</f>
        <v>Amelanchier grandiflora 'Autumn Brilliance'</v>
      </c>
      <c r="B216" s="51" t="str">
        <f ca="1">'Landscape Trees '!C29</f>
        <v>Autumn Brilliance Serviceberry</v>
      </c>
      <c r="C216" s="42" t="str">
        <f ca="1">'Landscape Trees '!D29</f>
        <v>#10</v>
      </c>
      <c r="D216" s="42" t="str">
        <f ca="1">'Landscape Trees '!E29</f>
        <v>Multi</v>
      </c>
      <c r="E216" s="42" t="str">
        <f ca="1">'Landscape Trees '!F29</f>
        <v>7-9'</v>
      </c>
      <c r="F216" s="52">
        <f ca="1">'Landscape Trees '!G29</f>
        <v>12</v>
      </c>
      <c r="G216" s="53">
        <f ca="1">'Landscape Trees '!H29</f>
        <v>100</v>
      </c>
      <c r="H216" s="51" t="str">
        <f t="shared" ca="1" si="0"/>
        <v>Autumn Brilliance Serviceberry #10</v>
      </c>
      <c r="I216" s="54"/>
      <c r="J216" s="55">
        <f t="shared" ca="1" si="2"/>
        <v>0</v>
      </c>
      <c r="K216" s="55"/>
    </row>
    <row r="217" spans="1:11" ht="12.75" x14ac:dyDescent="0.2">
      <c r="A217" s="51" t="str">
        <f ca="1">'Landscape Trees '!A30</f>
        <v>Amelanchier laevis</v>
      </c>
      <c r="B217" s="51" t="str">
        <f ca="1">'Landscape Trees '!C30</f>
        <v>Allegheny Serviceberry</v>
      </c>
      <c r="C217" s="42" t="str">
        <f ca="1">'Landscape Trees '!D30</f>
        <v>#5</v>
      </c>
      <c r="D217" s="42" t="str">
        <f ca="1">'Landscape Trees '!E30</f>
        <v>0.25-0.5"</v>
      </c>
      <c r="E217" s="42" t="str">
        <f ca="1">'Landscape Trees '!F30</f>
        <v>3-10'</v>
      </c>
      <c r="F217" s="52">
        <f ca="1">'Landscape Trees '!G30</f>
        <v>40</v>
      </c>
      <c r="G217" s="53">
        <f ca="1">'Landscape Trees '!H30</f>
        <v>50</v>
      </c>
      <c r="H217" s="51" t="str">
        <f t="shared" ca="1" si="0"/>
        <v>Allegheny Serviceberry #5</v>
      </c>
      <c r="I217" s="54"/>
      <c r="J217" s="55">
        <f t="shared" ca="1" si="2"/>
        <v>0</v>
      </c>
      <c r="K217" s="55"/>
    </row>
    <row r="218" spans="1:11" ht="12.75" x14ac:dyDescent="0.2">
      <c r="A218" s="51" t="str">
        <f ca="1">'Landscape Trees '!A31</f>
        <v>Amelanchier laevis</v>
      </c>
      <c r="B218" s="51" t="str">
        <f ca="1">'Landscape Trees '!C31</f>
        <v>Allegheny Serviceberry</v>
      </c>
      <c r="C218" s="42" t="str">
        <f ca="1">'Landscape Trees '!D31</f>
        <v>#5</v>
      </c>
      <c r="D218" s="42" t="str">
        <f ca="1">'Landscape Trees '!E31</f>
        <v>Multi</v>
      </c>
      <c r="E218" s="42" t="str">
        <f ca="1">'Landscape Trees '!F31</f>
        <v>3-10'</v>
      </c>
      <c r="F218" s="52">
        <f ca="1">'Landscape Trees '!G31</f>
        <v>165</v>
      </c>
      <c r="G218" s="53">
        <f ca="1">'Landscape Trees '!H31</f>
        <v>50</v>
      </c>
      <c r="H218" s="51" t="str">
        <f t="shared" ca="1" si="0"/>
        <v>Allegheny Serviceberry #5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'!A32</f>
        <v>Amelanchier lamarckii</v>
      </c>
      <c r="B219" s="51" t="str">
        <f ca="1">'Landscape Trees '!C32</f>
        <v>Lamarckii Serviceberry</v>
      </c>
      <c r="C219" s="42" t="str">
        <f ca="1">'Landscape Trees '!D32</f>
        <v>#5</v>
      </c>
      <c r="D219" s="42" t="str">
        <f ca="1">'Landscape Trees '!E32</f>
        <v>Multi</v>
      </c>
      <c r="E219" s="42" t="str">
        <f ca="1">'Landscape Trees '!F32</f>
        <v>4-10'</v>
      </c>
      <c r="F219" s="52">
        <f ca="1">'Landscape Trees '!G32</f>
        <v>3</v>
      </c>
      <c r="G219" s="53">
        <f ca="1">'Landscape Trees '!H32</f>
        <v>50</v>
      </c>
      <c r="H219" s="51" t="str">
        <f t="shared" ca="1" si="0"/>
        <v>Lamarckii Serviceberry #5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'!A33</f>
        <v>Aronia arbutifolia</v>
      </c>
      <c r="B220" s="51" t="str">
        <f ca="1">'Landscape Trees '!C33</f>
        <v>Red Chokeberry</v>
      </c>
      <c r="C220" s="42" t="str">
        <f ca="1">'Landscape Trees '!D33</f>
        <v>#5</v>
      </c>
      <c r="D220" s="42" t="str">
        <f ca="1">'Landscape Trees '!E33</f>
        <v>Multi</v>
      </c>
      <c r="E220" s="42" t="str">
        <f ca="1">'Landscape Trees '!F33</f>
        <v>4-5.5'</v>
      </c>
      <c r="F220" s="52">
        <f ca="1">'Landscape Trees '!G33</f>
        <v>9</v>
      </c>
      <c r="G220" s="53">
        <f ca="1">'Landscape Trees '!H33</f>
        <v>37</v>
      </c>
      <c r="H220" s="51" t="str">
        <f t="shared" ca="1" si="0"/>
        <v>Red Chokeberry #5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'!A34</f>
        <v>Aronia melanocarpa</v>
      </c>
      <c r="B221" s="51" t="str">
        <f ca="1">'Landscape Trees '!C34</f>
        <v>Black Chokeberry</v>
      </c>
      <c r="C221" s="42" t="str">
        <f ca="1">'Landscape Trees '!D34</f>
        <v>#5</v>
      </c>
      <c r="D221" s="42" t="str">
        <f ca="1">'Landscape Trees '!E34</f>
        <v>Multi</v>
      </c>
      <c r="E221" s="42" t="str">
        <f ca="1">'Landscape Trees '!F34</f>
        <v>2.5-3'</v>
      </c>
      <c r="F221" s="52">
        <f ca="1">'Landscape Trees '!G34</f>
        <v>14</v>
      </c>
      <c r="G221" s="53">
        <f ca="1">'Landscape Trees '!H34</f>
        <v>37</v>
      </c>
      <c r="H221" s="51" t="str">
        <f t="shared" ca="1" si="0"/>
        <v>Black Chokeberry #5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'!A35</f>
        <v>Asimina triloba</v>
      </c>
      <c r="B222" s="51" t="str">
        <f ca="1">'Landscape Trees '!C35</f>
        <v>Pawpaw</v>
      </c>
      <c r="C222" s="42" t="str">
        <f ca="1">'Landscape Trees '!D35</f>
        <v>#5</v>
      </c>
      <c r="D222" s="42" t="str">
        <f ca="1">'Landscape Trees '!E35</f>
        <v>0.25-0.5"</v>
      </c>
      <c r="E222" s="42" t="str">
        <f ca="1">'Landscape Trees '!F35</f>
        <v>1-4'</v>
      </c>
      <c r="F222" s="52">
        <f ca="1">'Landscape Trees '!G35</f>
        <v>178</v>
      </c>
      <c r="G222" s="53">
        <f ca="1">'Landscape Trees '!H35</f>
        <v>50</v>
      </c>
      <c r="H222" s="51" t="str">
        <f t="shared" ca="1" si="0"/>
        <v>Pawpaw #5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'!A36</f>
        <v>Betula nigra 'Heritage'</v>
      </c>
      <c r="B223" s="51" t="str">
        <f ca="1">'Landscape Trees '!C36</f>
        <v>Heritage River Birch</v>
      </c>
      <c r="C223" s="42" t="str">
        <f ca="1">'Landscape Trees '!D36</f>
        <v>#5</v>
      </c>
      <c r="D223" s="42" t="str">
        <f ca="1">'Landscape Trees '!E36</f>
        <v>0.25-1.25"</v>
      </c>
      <c r="E223" s="42" t="str">
        <f ca="1">'Landscape Trees '!F36</f>
        <v>4-10'</v>
      </c>
      <c r="F223" s="52">
        <f ca="1">'Landscape Trees '!G36</f>
        <v>125</v>
      </c>
      <c r="G223" s="53">
        <f ca="1">'Landscape Trees '!H36</f>
        <v>50</v>
      </c>
      <c r="H223" s="51" t="str">
        <f t="shared" ca="1" si="0"/>
        <v>Heritage River Birch #5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'!A37</f>
        <v>Betula nigra 'Heritage'</v>
      </c>
      <c r="B224" s="51" t="str">
        <f ca="1">'Landscape Trees '!C37</f>
        <v>Clump Heritage River Birch</v>
      </c>
      <c r="C224" s="42" t="str">
        <f ca="1">'Landscape Trees '!D37</f>
        <v>#15</v>
      </c>
      <c r="D224" s="42" t="str">
        <f ca="1">'Landscape Trees '!E37</f>
        <v>Multi</v>
      </c>
      <c r="E224" s="42" t="str">
        <f ca="1">'Landscape Trees '!F37</f>
        <v>6-8'</v>
      </c>
      <c r="F224" s="52">
        <f ca="1">'Landscape Trees '!G37</f>
        <v>1</v>
      </c>
      <c r="G224" s="53">
        <f ca="1">'Landscape Trees '!H37</f>
        <v>135</v>
      </c>
      <c r="H224" s="51" t="str">
        <f t="shared" ca="1" si="0"/>
        <v>Clump Heritage River Birch #15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'!A38</f>
        <v>Betula populifolia</v>
      </c>
      <c r="B225" s="51" t="str">
        <f ca="1">'Landscape Trees '!C38</f>
        <v>Gray Birch</v>
      </c>
      <c r="C225" s="42" t="str">
        <f ca="1">'Landscape Trees '!D38</f>
        <v>#5</v>
      </c>
      <c r="D225" s="42" t="str">
        <f ca="1">'Landscape Trees '!E38</f>
        <v>0.25-1"</v>
      </c>
      <c r="E225" s="42" t="str">
        <f ca="1">'Landscape Trees '!F38</f>
        <v>2-5'</v>
      </c>
      <c r="F225" s="52">
        <f ca="1">'Landscape Trees '!G38</f>
        <v>36</v>
      </c>
      <c r="G225" s="53">
        <f ca="1">'Landscape Trees '!H38</f>
        <v>50</v>
      </c>
      <c r="H225" s="51" t="str">
        <f t="shared" ca="1" si="0"/>
        <v>Gray Birch #5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'!A39</f>
        <v>Carpinus caroliniana</v>
      </c>
      <c r="B226" s="51" t="str">
        <f ca="1">'Landscape Trees '!C39</f>
        <v>American Hornbeam</v>
      </c>
      <c r="C226" s="42" t="str">
        <f ca="1">'Landscape Trees '!D39</f>
        <v>#5</v>
      </c>
      <c r="D226" s="42" t="str">
        <f ca="1">'Landscape Trees '!E39</f>
        <v>0.5-1.5"</v>
      </c>
      <c r="E226" s="42" t="str">
        <f ca="1">'Landscape Trees '!F39</f>
        <v>4-11'</v>
      </c>
      <c r="F226" s="52">
        <f ca="1">'Landscape Trees '!G39</f>
        <v>161</v>
      </c>
      <c r="G226" s="53">
        <f ca="1">'Landscape Trees '!H39</f>
        <v>50</v>
      </c>
      <c r="H226" s="51" t="str">
        <f t="shared" ca="1" si="0"/>
        <v>American Hornbeam #5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'!A40</f>
        <v>Carpinus caroliniana</v>
      </c>
      <c r="B227" s="51" t="str">
        <f ca="1">'Landscape Trees '!C40</f>
        <v>American Hornbeam</v>
      </c>
      <c r="C227" s="42" t="str">
        <f ca="1">'Landscape Trees '!D40</f>
        <v>#7</v>
      </c>
      <c r="D227" s="42" t="str">
        <f ca="1">'Landscape Trees '!E40</f>
        <v>1-1.5"</v>
      </c>
      <c r="E227" s="42" t="str">
        <f ca="1">'Landscape Trees '!F40</f>
        <v>7-9'</v>
      </c>
      <c r="F227" s="52">
        <f ca="1">'Landscape Trees '!G40</f>
        <v>33</v>
      </c>
      <c r="G227" s="53">
        <f ca="1">'Landscape Trees '!H40</f>
        <v>70</v>
      </c>
      <c r="H227" s="51" t="str">
        <f t="shared" ca="1" si="0"/>
        <v>American Hornbeam #7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'!A41</f>
        <v>Carpinus caroliniana</v>
      </c>
      <c r="B228" s="51" t="str">
        <f ca="1">'Landscape Trees '!C41</f>
        <v>American Hornbeam</v>
      </c>
      <c r="C228" s="42" t="str">
        <f ca="1">'Landscape Trees '!D41</f>
        <v>#15</v>
      </c>
      <c r="D228" s="42" t="str">
        <f ca="1">'Landscape Trees '!E41</f>
        <v>0.75-2"</v>
      </c>
      <c r="E228" s="42" t="str">
        <f ca="1">'Landscape Trees '!F41</f>
        <v>7.5-10'</v>
      </c>
      <c r="F228" s="52">
        <f ca="1">'Landscape Trees '!G41</f>
        <v>8</v>
      </c>
      <c r="G228" s="53">
        <f ca="1">'Landscape Trees '!H41</f>
        <v>135</v>
      </c>
      <c r="H228" s="51" t="str">
        <f t="shared" ca="1" si="0"/>
        <v>American Hornbeam #15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'!A42</f>
        <v>Carpinus caroliniana</v>
      </c>
      <c r="B229" s="51" t="str">
        <f ca="1">'Landscape Trees '!C42</f>
        <v>American Hornbeam</v>
      </c>
      <c r="C229" s="42" t="str">
        <f ca="1">'Landscape Trees '!D42</f>
        <v>#10</v>
      </c>
      <c r="D229" s="42" t="str">
        <f ca="1">'Landscape Trees '!E42</f>
        <v>0.5-0.75"</v>
      </c>
      <c r="E229" s="42" t="str">
        <f ca="1">'Landscape Trees '!F42</f>
        <v>4-5.5'</v>
      </c>
      <c r="F229" s="52">
        <f ca="1">'Landscape Trees '!G42</f>
        <v>104</v>
      </c>
      <c r="G229" s="53">
        <f ca="1">'Landscape Trees '!H42</f>
        <v>100</v>
      </c>
      <c r="H229" s="51" t="str">
        <f t="shared" ca="1" si="0"/>
        <v>American Hornbeam #10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'!A43</f>
        <v>Catalpa bignonioides</v>
      </c>
      <c r="B230" s="51" t="str">
        <f ca="1">'Landscape Trees '!C43</f>
        <v>Southern Catalpa</v>
      </c>
      <c r="C230" s="42" t="str">
        <f ca="1">'Landscape Trees '!D43</f>
        <v>#5</v>
      </c>
      <c r="D230" s="42" t="str">
        <f ca="1">'Landscape Trees '!E43</f>
        <v>0.25-1.25"</v>
      </c>
      <c r="E230" s="42" t="str">
        <f ca="1">'Landscape Trees '!F43</f>
        <v>2-6'</v>
      </c>
      <c r="F230" s="52">
        <f ca="1">'Landscape Trees '!G43</f>
        <v>17</v>
      </c>
      <c r="G230" s="53">
        <f ca="1">'Landscape Trees '!H43</f>
        <v>50</v>
      </c>
      <c r="H230" s="51" t="str">
        <f t="shared" ca="1" si="0"/>
        <v>Southern Catalpa #5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'!A44</f>
        <v>Catalpa speciosa</v>
      </c>
      <c r="B231" s="51" t="str">
        <f ca="1">'Landscape Trees '!C44</f>
        <v>Northern Catalpa</v>
      </c>
      <c r="C231" s="42" t="str">
        <f ca="1">'Landscape Trees '!D44</f>
        <v>#5</v>
      </c>
      <c r="D231" s="42" t="str">
        <f ca="1">'Landscape Trees '!E44</f>
        <v>0.25-0.5"</v>
      </c>
      <c r="E231" s="42" t="str">
        <f ca="1">'Landscape Trees '!F44</f>
        <v>2-3'</v>
      </c>
      <c r="F231" s="52">
        <f ca="1">'Landscape Trees '!G44</f>
        <v>19</v>
      </c>
      <c r="G231" s="53">
        <f ca="1">'Landscape Trees '!H44</f>
        <v>50</v>
      </c>
      <c r="H231" s="51" t="str">
        <f t="shared" ca="1" si="0"/>
        <v>Northern Catalpa #5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'!A45</f>
        <v>Celtis laevigata</v>
      </c>
      <c r="B232" s="51" t="str">
        <f ca="1">'Landscape Trees '!C45</f>
        <v>Sugarberry</v>
      </c>
      <c r="C232" s="42" t="str">
        <f ca="1">'Landscape Trees '!D45</f>
        <v>#5</v>
      </c>
      <c r="D232" s="42" t="str">
        <f ca="1">'Landscape Trees '!E45</f>
        <v>0.75-1.25"</v>
      </c>
      <c r="E232" s="42" t="str">
        <f ca="1">'Landscape Trees '!F45</f>
        <v>5-9'</v>
      </c>
      <c r="F232" s="52">
        <f ca="1">'Landscape Trees '!G45</f>
        <v>46</v>
      </c>
      <c r="G232" s="53">
        <f ca="1">'Landscape Trees '!H45</f>
        <v>50</v>
      </c>
      <c r="H232" s="51" t="str">
        <f t="shared" ca="1" si="0"/>
        <v>Sugarberry #5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'!A46</f>
        <v>Celtis occidentalis</v>
      </c>
      <c r="B233" s="51" t="str">
        <f ca="1">'Landscape Trees '!C46</f>
        <v>Hackberry</v>
      </c>
      <c r="C233" s="42" t="str">
        <f ca="1">'Landscape Trees '!D46</f>
        <v>#5</v>
      </c>
      <c r="D233" s="42" t="str">
        <f ca="1">'Landscape Trees '!E46</f>
        <v>0.5-1.5"</v>
      </c>
      <c r="E233" s="42" t="str">
        <f ca="1">'Landscape Trees '!F46</f>
        <v>4-12'</v>
      </c>
      <c r="F233" s="52">
        <f ca="1">'Landscape Trees '!G46</f>
        <v>178</v>
      </c>
      <c r="G233" s="53">
        <f ca="1">'Landscape Trees '!H46</f>
        <v>50</v>
      </c>
      <c r="H233" s="51" t="str">
        <f t="shared" ca="1" si="0"/>
        <v>Hackberry #5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'!A47</f>
        <v>Celtis occidentalis</v>
      </c>
      <c r="B234" s="51" t="str">
        <f ca="1">'Landscape Trees '!C47</f>
        <v>Hackberry</v>
      </c>
      <c r="C234" s="42" t="str">
        <f ca="1">'Landscape Trees '!D47</f>
        <v>#7</v>
      </c>
      <c r="D234" s="42" t="str">
        <f ca="1">'Landscape Trees '!E47</f>
        <v>0.25-0.5"</v>
      </c>
      <c r="E234" s="42" t="str">
        <f ca="1">'Landscape Trees '!F47</f>
        <v>2.5-4'</v>
      </c>
      <c r="F234" s="52">
        <f ca="1">'Landscape Trees '!G47</f>
        <v>18</v>
      </c>
      <c r="G234" s="53">
        <f ca="1">'Landscape Trees '!H47</f>
        <v>70</v>
      </c>
      <c r="H234" s="51" t="str">
        <f t="shared" ca="1" si="0"/>
        <v>Hackberry #7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'!A48</f>
        <v>Cephalanthus occidentalis</v>
      </c>
      <c r="B235" s="51" t="str">
        <f ca="1">'Landscape Trees '!C48</f>
        <v>Buttonbush</v>
      </c>
      <c r="C235" s="42" t="str">
        <f ca="1">'Landscape Trees '!D48</f>
        <v>#5</v>
      </c>
      <c r="D235" s="42" t="str">
        <f ca="1">'Landscape Trees '!E48</f>
        <v>Multi</v>
      </c>
      <c r="E235" s="42" t="str">
        <f ca="1">'Landscape Trees '!F48</f>
        <v>2-6'</v>
      </c>
      <c r="F235" s="52">
        <f ca="1">'Landscape Trees '!G48</f>
        <v>94</v>
      </c>
      <c r="G235" s="53">
        <f ca="1">'Landscape Trees '!H48</f>
        <v>37</v>
      </c>
      <c r="H235" s="51" t="str">
        <f t="shared" ca="1" si="0"/>
        <v>Buttonbush #5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'!A49</f>
        <v>Cercidiphyllum japonicum</v>
      </c>
      <c r="B236" s="51" t="str">
        <f ca="1">'Landscape Trees '!C49</f>
        <v>Katsura</v>
      </c>
      <c r="C236" s="42" t="str">
        <f ca="1">'Landscape Trees '!D49</f>
        <v>#5</v>
      </c>
      <c r="D236" s="42" t="str">
        <f ca="1">'Landscape Trees '!E49</f>
        <v>0.5-0.75"</v>
      </c>
      <c r="E236" s="42" t="str">
        <f ca="1">'Landscape Trees '!F49</f>
        <v>3-6'</v>
      </c>
      <c r="F236" s="52">
        <f ca="1">'Landscape Trees '!G49</f>
        <v>22</v>
      </c>
      <c r="G236" s="53">
        <f ca="1">'Landscape Trees '!H49</f>
        <v>50</v>
      </c>
      <c r="H236" s="51" t="str">
        <f t="shared" ca="1" si="0"/>
        <v>Katsura #5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'!A50</f>
        <v>Cercis alba</v>
      </c>
      <c r="B237" s="51" t="str">
        <f ca="1">'Landscape Trees '!C50</f>
        <v>Whitebud</v>
      </c>
      <c r="C237" s="42" t="str">
        <f ca="1">'Landscape Trees '!D50</f>
        <v>#7</v>
      </c>
      <c r="D237" s="42" t="str">
        <f ca="1">'Landscape Trees '!E50</f>
        <v>0.5-0.75"</v>
      </c>
      <c r="E237" s="42" t="str">
        <f ca="1">'Landscape Trees '!F50</f>
        <v>5-7'</v>
      </c>
      <c r="F237" s="52">
        <f ca="1">'Landscape Trees '!G50</f>
        <v>7</v>
      </c>
      <c r="G237" s="53">
        <f ca="1">'Landscape Trees '!H50</f>
        <v>100</v>
      </c>
      <c r="H237" s="51" t="str">
        <f t="shared" ca="1" si="0"/>
        <v>Whitebud #7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'!A51</f>
        <v>Cercis canadensis</v>
      </c>
      <c r="B238" s="51" t="str">
        <f ca="1">'Landscape Trees '!C51</f>
        <v>Eastern Redbud</v>
      </c>
      <c r="C238" s="42" t="str">
        <f ca="1">'Landscape Trees '!D51</f>
        <v>#5</v>
      </c>
      <c r="D238" s="42" t="str">
        <f ca="1">'Landscape Trees '!E51</f>
        <v>0.25-1"</v>
      </c>
      <c r="E238" s="42" t="str">
        <f ca="1">'Landscape Trees '!F51</f>
        <v>3-8'</v>
      </c>
      <c r="F238" s="52">
        <f ca="1">'Landscape Trees '!G51</f>
        <v>123</v>
      </c>
      <c r="G238" s="53">
        <f ca="1">'Landscape Trees '!H51</f>
        <v>50</v>
      </c>
      <c r="H238" s="51" t="str">
        <f t="shared" ca="1" si="0"/>
        <v>Eastern Redbud #5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'!A52</f>
        <v>Cercis canadensis</v>
      </c>
      <c r="B239" s="51" t="str">
        <f ca="1">'Landscape Trees '!C52</f>
        <v>Eastern Redbud</v>
      </c>
      <c r="C239" s="42" t="str">
        <f ca="1">'Landscape Trees '!D52</f>
        <v>#10</v>
      </c>
      <c r="D239" s="42" t="str">
        <f ca="1">'Landscape Trees '!E52</f>
        <v>0.5-1.25"</v>
      </c>
      <c r="E239" s="42" t="str">
        <f ca="1">'Landscape Trees '!F52</f>
        <v>6-8'</v>
      </c>
      <c r="F239" s="52">
        <f ca="1">'Landscape Trees '!G52</f>
        <v>63</v>
      </c>
      <c r="G239" s="53">
        <f ca="1">'Landscape Trees '!H52</f>
        <v>100</v>
      </c>
      <c r="H239" s="51" t="str">
        <f t="shared" ca="1" si="0"/>
        <v>Eastern Redbud #10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'!A53</f>
        <v>Cercis canadensis</v>
      </c>
      <c r="B240" s="51" t="str">
        <f ca="1">'Landscape Trees '!C53</f>
        <v>Eastern Redbud</v>
      </c>
      <c r="C240" s="42" t="str">
        <f ca="1">'Landscape Trees '!D53</f>
        <v>#15</v>
      </c>
      <c r="D240" s="42" t="str">
        <f ca="1">'Landscape Trees '!E53</f>
        <v>1-1.25"</v>
      </c>
      <c r="E240" s="42" t="str">
        <f ca="1">'Landscape Trees '!F53</f>
        <v>8-12'</v>
      </c>
      <c r="F240" s="52">
        <f ca="1">'Landscape Trees '!G53</f>
        <v>17</v>
      </c>
      <c r="G240" s="53">
        <f ca="1">'Landscape Trees '!H53</f>
        <v>135</v>
      </c>
      <c r="H240" s="51" t="str">
        <f t="shared" ca="1" si="0"/>
        <v>Eastern Redbud #15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'!A54</f>
        <v>Cercis canadensis 'Appalachian Red'</v>
      </c>
      <c r="B241" s="51" t="str">
        <f ca="1">'Landscape Trees '!C54</f>
        <v>Appalachian Red Redbud</v>
      </c>
      <c r="C241" s="42" t="str">
        <f ca="1">'Landscape Trees '!D54</f>
        <v>#15</v>
      </c>
      <c r="D241" s="42" t="str">
        <f ca="1">'Landscape Trees '!E54</f>
        <v>0.75-1.25"</v>
      </c>
      <c r="E241" s="42" t="str">
        <f ca="1">'Landscape Trees '!F54</f>
        <v>6-10'</v>
      </c>
      <c r="F241" s="52">
        <f ca="1">'Landscape Trees '!G54</f>
        <v>7</v>
      </c>
      <c r="G241" s="53">
        <f ca="1">'Landscape Trees '!H54</f>
        <v>135</v>
      </c>
      <c r="H241" s="51" t="str">
        <f t="shared" ca="1" si="0"/>
        <v>Appalachian Red Redbud #15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'!A55</f>
        <v>Cercis canadensis 'Forest Pansy'</v>
      </c>
      <c r="B242" s="51" t="str">
        <f ca="1">'Landscape Trees '!C55</f>
        <v>Forest Pansy Redbud</v>
      </c>
      <c r="C242" s="42" t="str">
        <f ca="1">'Landscape Trees '!D55</f>
        <v>#10</v>
      </c>
      <c r="D242" s="42" t="str">
        <f ca="1">'Landscape Trees '!E55</f>
        <v>0.75-1.5"</v>
      </c>
      <c r="E242" s="42" t="str">
        <f ca="1">'Landscape Trees '!F55</f>
        <v>5-9'</v>
      </c>
      <c r="F242" s="52">
        <f ca="1">'Landscape Trees '!G55</f>
        <v>38</v>
      </c>
      <c r="G242" s="53">
        <f ca="1">'Landscape Trees '!H55</f>
        <v>100</v>
      </c>
      <c r="H242" s="51" t="str">
        <f t="shared" ca="1" si="0"/>
        <v>Forest Pansy Redbud #10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'!A56</f>
        <v>Cercis canadensis 'Hearts of Gold'</v>
      </c>
      <c r="B243" s="51" t="str">
        <f ca="1">'Landscape Trees '!C56</f>
        <v>Hearts of Gold Redbud</v>
      </c>
      <c r="C243" s="42" t="str">
        <f ca="1">'Landscape Trees '!D56</f>
        <v>#15</v>
      </c>
      <c r="D243" s="42" t="str">
        <f ca="1">'Landscape Trees '!E56</f>
        <v>0.75-1"</v>
      </c>
      <c r="E243" s="42" t="str">
        <f ca="1">'Landscape Trees '!F56</f>
        <v>6.5-7'</v>
      </c>
      <c r="F243" s="52">
        <f ca="1">'Landscape Trees '!G56</f>
        <v>5</v>
      </c>
      <c r="G243" s="53">
        <f ca="1">'Landscape Trees '!H56</f>
        <v>135</v>
      </c>
      <c r="H243" s="51" t="str">
        <f t="shared" ca="1" si="0"/>
        <v>Hearts of Gold Redbud #15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'!A57</f>
        <v>Cercis canadensis 'Lavender Twist'</v>
      </c>
      <c r="B244" s="51" t="str">
        <f ca="1">'Landscape Trees '!C57</f>
        <v>Lavender Twist Redbud</v>
      </c>
      <c r="C244" s="42" t="str">
        <f ca="1">'Landscape Trees '!D57</f>
        <v>#5</v>
      </c>
      <c r="D244" s="42" t="str">
        <f ca="1">'Landscape Trees '!E57</f>
        <v>0.5-1"</v>
      </c>
      <c r="E244" s="42" t="str">
        <f ca="1">'Landscape Trees '!F57</f>
        <v>3-5'</v>
      </c>
      <c r="F244" s="52">
        <f ca="1">'Landscape Trees '!G57</f>
        <v>23</v>
      </c>
      <c r="G244" s="53">
        <f ca="1">'Landscape Trees '!H57</f>
        <v>100</v>
      </c>
      <c r="H244" s="51" t="str">
        <f t="shared" ca="1" si="0"/>
        <v>Lavender Twist Redbud #5</v>
      </c>
      <c r="I244" s="54"/>
      <c r="J244" s="55">
        <f t="shared" ca="1" si="2"/>
        <v>0</v>
      </c>
      <c r="K244" s="55"/>
    </row>
    <row r="245" spans="1:11" ht="12.75" x14ac:dyDescent="0.2">
      <c r="A245" s="51" t="str">
        <f ca="1">'Landscape Trees '!A58</f>
        <v>Cercis canadensis 'Ruby Falls'</v>
      </c>
      <c r="B245" s="51" t="str">
        <f ca="1">'Landscape Trees '!C58</f>
        <v>Ruby Falls Redbud</v>
      </c>
      <c r="C245" s="42" t="str">
        <f ca="1">'Landscape Trees '!D58</f>
        <v>#10</v>
      </c>
      <c r="D245" s="42" t="str">
        <f ca="1">'Landscape Trees '!E58</f>
        <v>0.75-1"</v>
      </c>
      <c r="E245" s="42" t="str">
        <f ca="1">'Landscape Trees '!F58</f>
        <v>5.5-6.5'</v>
      </c>
      <c r="F245" s="52">
        <f ca="1">'Landscape Trees '!G58</f>
        <v>2</v>
      </c>
      <c r="G245" s="53">
        <f ca="1">'Landscape Trees '!H58</f>
        <v>135</v>
      </c>
      <c r="H245" s="51" t="str">
        <f t="shared" ca="1" si="0"/>
        <v>Ruby Falls Redbud #10</v>
      </c>
      <c r="I245" s="54"/>
      <c r="J245" s="55">
        <f t="shared" ca="1" si="2"/>
        <v>0</v>
      </c>
      <c r="K245" s="55"/>
    </row>
    <row r="246" spans="1:11" ht="12.75" x14ac:dyDescent="0.2">
      <c r="A246" s="51" t="str">
        <f ca="1">'Landscape Trees '!A59</f>
        <v>Cladastris kentuckea 'Perkins Pink'</v>
      </c>
      <c r="B246" s="51" t="str">
        <f ca="1">'Landscape Trees '!C59</f>
        <v>Perkins Pink Yellowwood</v>
      </c>
      <c r="C246" s="42" t="str">
        <f ca="1">'Landscape Trees '!D59</f>
        <v>#15</v>
      </c>
      <c r="D246" s="42" t="str">
        <f ca="1">'Landscape Trees '!E59</f>
        <v>0.75-1.5"</v>
      </c>
      <c r="E246" s="42" t="str">
        <f ca="1">'Landscape Trees '!F59</f>
        <v>8-10'</v>
      </c>
      <c r="F246" s="52">
        <f ca="1">'Landscape Trees '!G59</f>
        <v>1</v>
      </c>
      <c r="G246" s="53">
        <f ca="1">'Landscape Trees '!H59</f>
        <v>135</v>
      </c>
      <c r="H246" s="51" t="str">
        <f t="shared" ca="1" si="0"/>
        <v>Perkins Pink Yellowwood #15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'!A60</f>
        <v>Cladrastis kentukea</v>
      </c>
      <c r="B247" s="51" t="str">
        <f ca="1">'Landscape Trees '!C60</f>
        <v>Yellowwood</v>
      </c>
      <c r="C247" s="42" t="str">
        <f ca="1">'Landscape Trees '!D60</f>
        <v>#5</v>
      </c>
      <c r="D247" s="42" t="str">
        <f ca="1">'Landscape Trees '!E60</f>
        <v>0.5-1"</v>
      </c>
      <c r="E247" s="42" t="str">
        <f ca="1">'Landscape Trees '!F60</f>
        <v>4-8'</v>
      </c>
      <c r="F247" s="52">
        <f ca="1">'Landscape Trees '!G60</f>
        <v>73</v>
      </c>
      <c r="G247" s="53">
        <f ca="1">'Landscape Trees '!H60</f>
        <v>50</v>
      </c>
      <c r="H247" s="51" t="str">
        <f t="shared" ca="1" si="0"/>
        <v>Yellowwood #5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'!A61</f>
        <v>Cladrastis kentukea</v>
      </c>
      <c r="B248" s="51" t="str">
        <f ca="1">'Landscape Trees '!C61</f>
        <v>Yellowwood</v>
      </c>
      <c r="C248" s="42" t="str">
        <f ca="1">'Landscape Trees '!D61</f>
        <v>#15</v>
      </c>
      <c r="D248" s="42" t="str">
        <f ca="1">'Landscape Trees '!E61</f>
        <v>1-1.75"</v>
      </c>
      <c r="E248" s="42" t="str">
        <f ca="1">'Landscape Trees '!F61</f>
        <v>8-10'</v>
      </c>
      <c r="F248" s="52">
        <f ca="1">'Landscape Trees '!G61</f>
        <v>4</v>
      </c>
      <c r="G248" s="53">
        <f ca="1">'Landscape Trees '!H61</f>
        <v>135</v>
      </c>
      <c r="H248" s="51" t="str">
        <f t="shared" ca="1" si="0"/>
        <v>Yellowwood #15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'!A62</f>
        <v xml:space="preserve">Cornus 'Rutdan' Celestial </v>
      </c>
      <c r="B249" s="51" t="str">
        <f ca="1">'Landscape Trees '!C62</f>
        <v>Celestial Dogwood</v>
      </c>
      <c r="C249" s="42" t="str">
        <f ca="1">'Landscape Trees '!D62</f>
        <v>#10</v>
      </c>
      <c r="D249" s="42" t="str">
        <f ca="1">'Landscape Trees '!E62</f>
        <v>0.5-1.25"</v>
      </c>
      <c r="E249" s="42" t="str">
        <f ca="1">'Landscape Trees '!F62</f>
        <v>4-10'</v>
      </c>
      <c r="F249" s="52">
        <f ca="1">'Landscape Trees '!G62</f>
        <v>18</v>
      </c>
      <c r="G249" s="53">
        <f ca="1">'Landscape Trees '!H62</f>
        <v>100</v>
      </c>
      <c r="H249" s="51" t="str">
        <f t="shared" ca="1" si="0"/>
        <v>Celestial Dogwood #10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'!A63</f>
        <v>Cornus alternifolia</v>
      </c>
      <c r="B250" s="51" t="str">
        <f ca="1">'Landscape Trees '!C63</f>
        <v>Pagoda Dogwood</v>
      </c>
      <c r="C250" s="42" t="str">
        <f ca="1">'Landscape Trees '!D63</f>
        <v>#5</v>
      </c>
      <c r="D250" s="42" t="str">
        <f ca="1">'Landscape Trees '!E63</f>
        <v>0.25-0.5"</v>
      </c>
      <c r="E250" s="42" t="str">
        <f ca="1">'Landscape Trees '!F63</f>
        <v>2-5.5'</v>
      </c>
      <c r="F250" s="52">
        <f ca="1">'Landscape Trees '!G63</f>
        <v>182</v>
      </c>
      <c r="G250" s="53">
        <f ca="1">'Landscape Trees '!H63</f>
        <v>50</v>
      </c>
      <c r="H250" s="51" t="str">
        <f t="shared" ca="1" si="0"/>
        <v>Pagoda Dogwood #5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'!A64</f>
        <v>Cornus amomum</v>
      </c>
      <c r="B251" s="51" t="str">
        <f ca="1">'Landscape Trees '!C64</f>
        <v>Silky Dogwood</v>
      </c>
      <c r="C251" s="42" t="str">
        <f ca="1">'Landscape Trees '!D64</f>
        <v>#5</v>
      </c>
      <c r="D251" s="42" t="str">
        <f ca="1">'Landscape Trees '!E64</f>
        <v>Multi</v>
      </c>
      <c r="E251" s="42" t="str">
        <f ca="1">'Landscape Trees '!F64</f>
        <v>1.5-4.5'</v>
      </c>
      <c r="F251" s="52">
        <f ca="1">'Landscape Trees '!G64</f>
        <v>7</v>
      </c>
      <c r="G251" s="53">
        <f ca="1">'Landscape Trees '!H64</f>
        <v>37</v>
      </c>
      <c r="H251" s="51" t="str">
        <f t="shared" ca="1" si="0"/>
        <v>Silky Dogwood #5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'!A65</f>
        <v>Cornus florida</v>
      </c>
      <c r="B252" s="51" t="str">
        <f ca="1">'Landscape Trees '!C65</f>
        <v>White Dogwood</v>
      </c>
      <c r="C252" s="42" t="str">
        <f ca="1">'Landscape Trees '!D65</f>
        <v>#5</v>
      </c>
      <c r="D252" s="42" t="str">
        <f ca="1">'Landscape Trees '!E65</f>
        <v>0.25-1"</v>
      </c>
      <c r="E252" s="42" t="str">
        <f ca="1">'Landscape Trees '!F65</f>
        <v>2-7'</v>
      </c>
      <c r="F252" s="52">
        <f ca="1">'Landscape Trees '!G65</f>
        <v>139</v>
      </c>
      <c r="G252" s="53">
        <f ca="1">'Landscape Trees '!H65</f>
        <v>50</v>
      </c>
      <c r="H252" s="51" t="str">
        <f t="shared" ca="1" si="0"/>
        <v>White Dogwood #5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'!A66</f>
        <v>Cornus florida</v>
      </c>
      <c r="B253" s="51" t="str">
        <f ca="1">'Landscape Trees '!C66</f>
        <v>White Dogwood</v>
      </c>
      <c r="C253" s="42" t="str">
        <f ca="1">'Landscape Trees '!D66</f>
        <v>#7</v>
      </c>
      <c r="D253" s="42" t="str">
        <f ca="1">'Landscape Trees '!E66</f>
        <v>0.75-1"</v>
      </c>
      <c r="E253" s="42" t="str">
        <f ca="1">'Landscape Trees '!F66</f>
        <v>4-7'</v>
      </c>
      <c r="F253" s="52">
        <f ca="1">'Landscape Trees '!G66</f>
        <v>121</v>
      </c>
      <c r="G253" s="53">
        <f ca="1">'Landscape Trees '!H66</f>
        <v>70</v>
      </c>
      <c r="H253" s="51" t="str">
        <f t="shared" ca="1" si="0"/>
        <v>White Dogwood #7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'!A67</f>
        <v>Cornus florida 'Cherokee Brave'</v>
      </c>
      <c r="B254" s="51" t="str">
        <f ca="1">'Landscape Trees '!C67</f>
        <v>Cherokee Brave Dogwood</v>
      </c>
      <c r="C254" s="42" t="str">
        <f ca="1">'Landscape Trees '!D67</f>
        <v>#5</v>
      </c>
      <c r="D254" s="42" t="str">
        <f ca="1">'Landscape Trees '!E67</f>
        <v>0.25-1"</v>
      </c>
      <c r="E254" s="42" t="str">
        <f ca="1">'Landscape Trees '!F67</f>
        <v>3-5.5'</v>
      </c>
      <c r="F254" s="52">
        <f ca="1">'Landscape Trees '!G67</f>
        <v>36</v>
      </c>
      <c r="G254" s="53">
        <f ca="1">'Landscape Trees '!H67</f>
        <v>50</v>
      </c>
      <c r="H254" s="51" t="str">
        <f t="shared" ca="1" si="0"/>
        <v>Cherokee Brave Dogwood #5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'!A68</f>
        <v>Cornus kousa</v>
      </c>
      <c r="B255" s="51" t="str">
        <f ca="1">'Landscape Trees '!C68</f>
        <v>Kousa Dogwood</v>
      </c>
      <c r="C255" s="42" t="str">
        <f ca="1">'Landscape Trees '!D68</f>
        <v>#10</v>
      </c>
      <c r="D255" s="42" t="str">
        <f ca="1">'Landscape Trees '!E68</f>
        <v>1.5-1.5"</v>
      </c>
      <c r="E255" s="42" t="str">
        <f ca="1">'Landscape Trees '!F68</f>
        <v>7-7'</v>
      </c>
      <c r="F255" s="52">
        <f ca="1">'Landscape Trees '!G68</f>
        <v>1</v>
      </c>
      <c r="G255" s="53">
        <f ca="1">'Landscape Trees '!H68</f>
        <v>100</v>
      </c>
      <c r="H255" s="51" t="str">
        <f t="shared" ca="1" si="0"/>
        <v>Kousa Dogwood #10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'!A69</f>
        <v>Cornus kousa</v>
      </c>
      <c r="B256" s="51" t="str">
        <f ca="1">'Landscape Trees '!C69</f>
        <v>Kousa Dogwood</v>
      </c>
      <c r="C256" s="42" t="str">
        <f ca="1">'Landscape Trees '!D69</f>
        <v>#15</v>
      </c>
      <c r="D256" s="42" t="str">
        <f ca="1">'Landscape Trees '!E69</f>
        <v>0.75-1"</v>
      </c>
      <c r="E256" s="42" t="str">
        <f ca="1">'Landscape Trees '!F69</f>
        <v>5-7'</v>
      </c>
      <c r="F256" s="52">
        <f ca="1">'Landscape Trees '!G69</f>
        <v>14</v>
      </c>
      <c r="G256" s="53">
        <f ca="1">'Landscape Trees '!H69</f>
        <v>135</v>
      </c>
      <c r="H256" s="51" t="str">
        <f t="shared" ca="1" si="0"/>
        <v>Kousa Dogwood #15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'!A70</f>
        <v>Cornus kousa 'Rutpink'</v>
      </c>
      <c r="B257" s="51" t="str">
        <f ca="1">'Landscape Trees '!C70</f>
        <v>Scarlet Fire Dogwood</v>
      </c>
      <c r="C257" s="42" t="str">
        <f ca="1">'Landscape Trees '!D70</f>
        <v>#7</v>
      </c>
      <c r="D257" s="42" t="str">
        <f ca="1">'Landscape Trees '!E70</f>
        <v>0.5-1.25"</v>
      </c>
      <c r="E257" s="42" t="str">
        <f ca="1">'Landscape Trees '!F70</f>
        <v>4-9'</v>
      </c>
      <c r="F257" s="52">
        <f ca="1">'Landscape Trees '!G70</f>
        <v>51</v>
      </c>
      <c r="G257" s="53">
        <f ca="1">'Landscape Trees '!H70</f>
        <v>70</v>
      </c>
      <c r="H257" s="51" t="str">
        <f t="shared" ca="1" si="0"/>
        <v>Scarlet Fire Dogwood #7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'!A71</f>
        <v>Cornus kousa 'Rutpink'</v>
      </c>
      <c r="B258" s="51" t="str">
        <f ca="1">'Landscape Trees '!C71</f>
        <v>Scarlet Fire Dogwood</v>
      </c>
      <c r="C258" s="42" t="str">
        <f ca="1">'Landscape Trees '!D71</f>
        <v>#10</v>
      </c>
      <c r="D258" s="42" t="str">
        <f ca="1">'Landscape Trees '!E71</f>
        <v>1.25-1.5"</v>
      </c>
      <c r="E258" s="42" t="str">
        <f ca="1">'Landscape Trees '!F71</f>
        <v>6.5-9.5'</v>
      </c>
      <c r="F258" s="52">
        <f ca="1">'Landscape Trees '!G71</f>
        <v>1</v>
      </c>
      <c r="G258" s="53">
        <f ca="1">'Landscape Trees '!H71</f>
        <v>100</v>
      </c>
      <c r="H258" s="51" t="str">
        <f t="shared" ca="1" si="0"/>
        <v>Scarlet Fire Dogwood #10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'!A72</f>
        <v>Cornus racemosa</v>
      </c>
      <c r="B259" s="51" t="str">
        <f ca="1">'Landscape Trees '!C72</f>
        <v>Gray Dogwood</v>
      </c>
      <c r="C259" s="42" t="str">
        <f ca="1">'Landscape Trees '!D72</f>
        <v>#5</v>
      </c>
      <c r="D259" s="42" t="str">
        <f ca="1">'Landscape Trees '!E72</f>
        <v>0.25-0.25"</v>
      </c>
      <c r="E259" s="42" t="str">
        <f ca="1">'Landscape Trees '!F72</f>
        <v>2-3.5'</v>
      </c>
      <c r="F259" s="52">
        <f ca="1">'Landscape Trees '!G72</f>
        <v>10</v>
      </c>
      <c r="G259" s="53">
        <f ca="1">'Landscape Trees '!H72</f>
        <v>37</v>
      </c>
      <c r="H259" s="51" t="str">
        <f t="shared" ca="1" si="0"/>
        <v>Gray Dogwood #5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'!A73</f>
        <v>Cornus racemosa</v>
      </c>
      <c r="B260" s="51" t="str">
        <f ca="1">'Landscape Trees '!C73</f>
        <v>Gray Dogwood</v>
      </c>
      <c r="C260" s="42" t="str">
        <f ca="1">'Landscape Trees '!D73</f>
        <v>#5</v>
      </c>
      <c r="D260" s="42" t="str">
        <f ca="1">'Landscape Trees '!E73</f>
        <v>Multi</v>
      </c>
      <c r="E260" s="42" t="str">
        <f ca="1">'Landscape Trees '!F73</f>
        <v>2-3.5'</v>
      </c>
      <c r="F260" s="52">
        <f ca="1">'Landscape Trees '!G73</f>
        <v>1</v>
      </c>
      <c r="G260" s="53">
        <f ca="1">'Landscape Trees '!H73</f>
        <v>37</v>
      </c>
      <c r="H260" s="51" t="str">
        <f t="shared" ca="1" si="0"/>
        <v>Gray Dogwood #5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'!A74</f>
        <v>Cornus sericea</v>
      </c>
      <c r="B261" s="51" t="str">
        <f ca="1">'Landscape Trees '!C74</f>
        <v>Red Twig Dogwood</v>
      </c>
      <c r="C261" s="42" t="str">
        <f ca="1">'Landscape Trees '!D74</f>
        <v>#5</v>
      </c>
      <c r="D261" s="42" t="str">
        <f ca="1">'Landscape Trees '!E74</f>
        <v>0.5-0.5"</v>
      </c>
      <c r="E261" s="42" t="str">
        <f ca="1">'Landscape Trees '!F74</f>
        <v>2-3.5'</v>
      </c>
      <c r="F261" s="52">
        <f ca="1">'Landscape Trees '!G74</f>
        <v>1</v>
      </c>
      <c r="G261" s="53">
        <f ca="1">'Landscape Trees '!H74</f>
        <v>37</v>
      </c>
      <c r="H261" s="51" t="str">
        <f t="shared" ca="1" si="0"/>
        <v>Red Twig Dogwood #5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'!A75</f>
        <v>Cornus sericea</v>
      </c>
      <c r="B262" s="51" t="str">
        <f ca="1">'Landscape Trees '!C75</f>
        <v>Red Twig Dogwood</v>
      </c>
      <c r="C262" s="42" t="str">
        <f ca="1">'Landscape Trees '!D75</f>
        <v>#5</v>
      </c>
      <c r="D262" s="42" t="str">
        <f ca="1">'Landscape Trees '!E75</f>
        <v>Multi</v>
      </c>
      <c r="E262" s="42" t="str">
        <f ca="1">'Landscape Trees '!F75</f>
        <v>2-3.5'</v>
      </c>
      <c r="F262" s="52">
        <f ca="1">'Landscape Trees '!G75</f>
        <v>19</v>
      </c>
      <c r="G262" s="53">
        <f ca="1">'Landscape Trees '!H75</f>
        <v>37</v>
      </c>
      <c r="H262" s="51" t="str">
        <f t="shared" ca="1" si="0"/>
        <v>Red Twig Dogwood #5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'!A76</f>
        <v>Cornus x 'Rutgan' Stellar Pink</v>
      </c>
      <c r="B263" s="51" t="str">
        <f ca="1">'Landscape Trees '!C76</f>
        <v>Stellar Pink Dogwood</v>
      </c>
      <c r="C263" s="42" t="str">
        <f ca="1">'Landscape Trees '!D76</f>
        <v>#10</v>
      </c>
      <c r="D263" s="42" t="str">
        <f ca="1">'Landscape Trees '!E76</f>
        <v>0.5-1.75"</v>
      </c>
      <c r="E263" s="42" t="str">
        <f ca="1">'Landscape Trees '!F76</f>
        <v>3.5-11'</v>
      </c>
      <c r="F263" s="52">
        <f ca="1">'Landscape Trees '!G76</f>
        <v>22</v>
      </c>
      <c r="G263" s="53">
        <f ca="1">'Landscape Trees '!H76</f>
        <v>100</v>
      </c>
      <c r="H263" s="51" t="str">
        <f t="shared" ca="1" si="0"/>
        <v>Stellar Pink Dogwood #10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'!A77</f>
        <v>Cornus x Rutcan 'Constellation'</v>
      </c>
      <c r="B264" s="51" t="str">
        <f ca="1">'Landscape Trees '!C77</f>
        <v>Constellation Dogwood</v>
      </c>
      <c r="C264" s="42" t="str">
        <f ca="1">'Landscape Trees '!D77</f>
        <v>#10</v>
      </c>
      <c r="D264" s="42" t="str">
        <f ca="1">'Landscape Trees '!E77</f>
        <v>1-1.25"</v>
      </c>
      <c r="E264" s="42" t="str">
        <f ca="1">'Landscape Trees '!F77</f>
        <v>7-10'</v>
      </c>
      <c r="F264" s="52">
        <f ca="1">'Landscape Trees '!G77</f>
        <v>9</v>
      </c>
      <c r="G264" s="53">
        <f ca="1">'Landscape Trees '!H77</f>
        <v>100</v>
      </c>
      <c r="H264" s="51" t="str">
        <f t="shared" ca="1" si="0"/>
        <v>Constellation Dogwood #10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'!A78</f>
        <v>Cornus x Rutcan 'Constellation'</v>
      </c>
      <c r="B265" s="51" t="str">
        <f ca="1">'Landscape Trees '!C78</f>
        <v>Constellation Dogwood</v>
      </c>
      <c r="C265" s="42" t="str">
        <f ca="1">'Landscape Trees '!D78</f>
        <v>#15</v>
      </c>
      <c r="D265" s="42" t="str">
        <f ca="1">'Landscape Trees '!E78</f>
        <v>1-1.5"</v>
      </c>
      <c r="E265" s="42" t="str">
        <f ca="1">'Landscape Trees '!F78</f>
        <v>8-9'</v>
      </c>
      <c r="F265" s="52">
        <f ca="1">'Landscape Trees '!G78</f>
        <v>25</v>
      </c>
      <c r="G265" s="53">
        <f ca="1">'Landscape Trees '!H78</f>
        <v>135</v>
      </c>
      <c r="H265" s="51" t="str">
        <f t="shared" ca="1" si="0"/>
        <v>Constellation Dogwood #15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'!A79</f>
        <v>Cotinus coggygria 'Royal Purple'</v>
      </c>
      <c r="B266" s="51" t="str">
        <f ca="1">'Landscape Trees '!C79</f>
        <v>Royal Purple Smokebush</v>
      </c>
      <c r="C266" s="42" t="str">
        <f ca="1">'Landscape Trees '!D79</f>
        <v>#5</v>
      </c>
      <c r="D266" s="42" t="str">
        <f ca="1">'Landscape Trees '!E79</f>
        <v>Multi</v>
      </c>
      <c r="E266" s="42" t="str">
        <f ca="1">'Landscape Trees '!F79</f>
        <v>8-11'</v>
      </c>
      <c r="F266" s="52">
        <f ca="1">'Landscape Trees '!G79</f>
        <v>4</v>
      </c>
      <c r="G266" s="53">
        <f ca="1">'Landscape Trees '!H79</f>
        <v>50</v>
      </c>
      <c r="H266" s="51" t="str">
        <f t="shared" ca="1" si="0"/>
        <v>Royal Purple Smokebush #5</v>
      </c>
      <c r="I266" s="54"/>
      <c r="J266" s="55">
        <f t="shared" ca="1" si="2"/>
        <v>0</v>
      </c>
      <c r="K266" s="55"/>
    </row>
    <row r="267" spans="1:11" ht="12.75" x14ac:dyDescent="0.2">
      <c r="A267" s="51" t="str">
        <f ca="1">'Landscape Trees '!A80</f>
        <v>Cotinus obovatus</v>
      </c>
      <c r="B267" s="51" t="str">
        <f ca="1">'Landscape Trees '!C80</f>
        <v>Smokebush (Native)</v>
      </c>
      <c r="C267" s="42" t="str">
        <f ca="1">'Landscape Trees '!D80</f>
        <v>#5</v>
      </c>
      <c r="D267" s="42" t="str">
        <f ca="1">'Landscape Trees '!E80</f>
        <v>0.75-1"</v>
      </c>
      <c r="E267" s="42" t="str">
        <f ca="1">'Landscape Trees '!F80</f>
        <v>7-12'</v>
      </c>
      <c r="F267" s="52">
        <f ca="1">'Landscape Trees '!G80</f>
        <v>13</v>
      </c>
      <c r="G267" s="53">
        <f ca="1">'Landscape Trees '!H80</f>
        <v>50</v>
      </c>
      <c r="H267" s="51" t="str">
        <f t="shared" ref="H267:H453" ca="1" si="3">B267&amp;" "&amp;C267</f>
        <v>Smokebush (Native) #5</v>
      </c>
      <c r="I267" s="54"/>
      <c r="J267" s="55">
        <f t="shared" ca="1" si="2"/>
        <v>0</v>
      </c>
      <c r="K267" s="55"/>
    </row>
    <row r="268" spans="1:11" ht="12.75" x14ac:dyDescent="0.2">
      <c r="A268" s="51" t="str">
        <f ca="1">'Landscape Trees '!A81</f>
        <v>Crataegus marshallii</v>
      </c>
      <c r="B268" s="51" t="str">
        <f ca="1">'Landscape Trees '!C81</f>
        <v>Parsley Hawthorn</v>
      </c>
      <c r="C268" s="42" t="str">
        <f ca="1">'Landscape Trees '!D81</f>
        <v>#5</v>
      </c>
      <c r="D268" s="42" t="str">
        <f ca="1">'Landscape Trees '!E81</f>
        <v>0.5-1"</v>
      </c>
      <c r="E268" s="42" t="str">
        <f ca="1">'Landscape Trees '!F81</f>
        <v>3-8'</v>
      </c>
      <c r="F268" s="52">
        <f ca="1">'Landscape Trees '!G81</f>
        <v>32</v>
      </c>
      <c r="G268" s="53">
        <f ca="1">'Landscape Trees '!H81</f>
        <v>50</v>
      </c>
      <c r="H268" s="51" t="str">
        <f t="shared" ca="1" si="3"/>
        <v>Parsley Hawthorn #5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'!A82</f>
        <v>Crataegus viridis 'Winter King'</v>
      </c>
      <c r="B269" s="51" t="str">
        <f ca="1">'Landscape Trees '!C82</f>
        <v>Winter King Hawthorn</v>
      </c>
      <c r="C269" s="42" t="str">
        <f ca="1">'Landscape Trees '!D82</f>
        <v>#5</v>
      </c>
      <c r="D269" s="42" t="str">
        <f ca="1">'Landscape Trees '!E82</f>
        <v>0.75-1"</v>
      </c>
      <c r="E269" s="42" t="str">
        <f ca="1">'Landscape Trees '!F82</f>
        <v>7-9'</v>
      </c>
      <c r="F269" s="52">
        <f ca="1">'Landscape Trees '!G82</f>
        <v>1</v>
      </c>
      <c r="G269" s="53">
        <f ca="1">'Landscape Trees '!H82</f>
        <v>70</v>
      </c>
      <c r="H269" s="51" t="str">
        <f t="shared" ca="1" si="3"/>
        <v>Winter King Hawthorn #5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'!A83</f>
        <v>Crataegus viridis 'Winter King'</v>
      </c>
      <c r="B270" s="51" t="str">
        <f ca="1">'Landscape Trees '!C83</f>
        <v>Winter King Hawthorn</v>
      </c>
      <c r="C270" s="42" t="str">
        <f ca="1">'Landscape Trees '!D83</f>
        <v>#10</v>
      </c>
      <c r="D270" s="42" t="str">
        <f ca="1">'Landscape Trees '!E83</f>
        <v>0.75-1"</v>
      </c>
      <c r="E270" s="42" t="str">
        <f ca="1">'Landscape Trees '!F83</f>
        <v>6-7.5'</v>
      </c>
      <c r="F270" s="52">
        <f ca="1">'Landscape Trees '!G83</f>
        <v>11</v>
      </c>
      <c r="G270" s="53">
        <f ca="1">'Landscape Trees '!H83</f>
        <v>100</v>
      </c>
      <c r="H270" s="51" t="str">
        <f t="shared" ca="1" si="3"/>
        <v>Winter King Hawthorn #10</v>
      </c>
      <c r="I270" s="54"/>
      <c r="J270" s="55">
        <f t="shared" ca="1" si="2"/>
        <v>0</v>
      </c>
      <c r="K270" s="55"/>
    </row>
    <row r="271" spans="1:11" ht="12.75" x14ac:dyDescent="0.2">
      <c r="A271" s="51" t="str">
        <f ca="1">'Landscape Trees '!A84</f>
        <v>Crataegus viridis 'Winter King'</v>
      </c>
      <c r="B271" s="51" t="str">
        <f ca="1">'Landscape Trees '!C84</f>
        <v>Winter King Hawthorn</v>
      </c>
      <c r="C271" s="42" t="str">
        <f ca="1">'Landscape Trees '!D84</f>
        <v>#15</v>
      </c>
      <c r="D271" s="42" t="str">
        <f ca="1">'Landscape Trees '!E84</f>
        <v>1-1.5"</v>
      </c>
      <c r="E271" s="42" t="str">
        <f ca="1">'Landscape Trees '!F84</f>
        <v>9-11'</v>
      </c>
      <c r="F271" s="52">
        <f ca="1">'Landscape Trees '!G84</f>
        <v>30</v>
      </c>
      <c r="G271" s="53">
        <f ca="1">'Landscape Trees '!H84</f>
        <v>135</v>
      </c>
      <c r="H271" s="51" t="str">
        <f t="shared" ca="1" si="3"/>
        <v>Winter King Hawthorn #15</v>
      </c>
      <c r="I271" s="54"/>
      <c r="J271" s="55">
        <f t="shared" ca="1" si="2"/>
        <v>0</v>
      </c>
      <c r="K271" s="55"/>
    </row>
    <row r="272" spans="1:11" ht="12.75" x14ac:dyDescent="0.2">
      <c r="A272" s="51" t="str">
        <f ca="1">'Landscape Trees '!A85</f>
        <v>Cryptomeria japonica 'Yoshino'</v>
      </c>
      <c r="B272" s="51" t="str">
        <f ca="1">'Landscape Trees '!C85</f>
        <v>Yoshino Cryptomeria</v>
      </c>
      <c r="C272" s="42" t="str">
        <f ca="1">'Landscape Trees '!D85</f>
        <v>#10</v>
      </c>
      <c r="D272" s="42" t="str">
        <f ca="1">'Landscape Trees '!E85</f>
        <v>0.5-0.75"</v>
      </c>
      <c r="E272" s="42" t="str">
        <f ca="1">'Landscape Trees '!F85</f>
        <v>3-4'</v>
      </c>
      <c r="F272" s="52">
        <f ca="1">'Landscape Trees '!G85</f>
        <v>1</v>
      </c>
      <c r="G272" s="53">
        <f ca="1">'Landscape Trees '!H85</f>
        <v>100</v>
      </c>
      <c r="H272" s="51" t="str">
        <f t="shared" ca="1" si="3"/>
        <v>Yoshino Cryptomeria #10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'!A86</f>
        <v>Diospyros virginiana</v>
      </c>
      <c r="B273" s="51" t="str">
        <f ca="1">'Landscape Trees '!C86</f>
        <v>American Persimmon</v>
      </c>
      <c r="C273" s="42" t="str">
        <f ca="1">'Landscape Trees '!D86</f>
        <v>#5</v>
      </c>
      <c r="D273" s="42" t="str">
        <f ca="1">'Landscape Trees '!E86</f>
        <v>0.25-1"</v>
      </c>
      <c r="E273" s="42" t="str">
        <f ca="1">'Landscape Trees '!F86</f>
        <v>2-7'</v>
      </c>
      <c r="F273" s="52">
        <f ca="1">'Landscape Trees '!G86</f>
        <v>114</v>
      </c>
      <c r="G273" s="53">
        <f ca="1">'Landscape Trees '!H86</f>
        <v>50</v>
      </c>
      <c r="H273" s="51" t="str">
        <f t="shared" ca="1" si="3"/>
        <v>American Persimmon #5</v>
      </c>
      <c r="I273" s="54"/>
      <c r="J273" s="55">
        <f t="shared" ca="1" si="2"/>
        <v>0</v>
      </c>
      <c r="K273" s="55"/>
    </row>
    <row r="274" spans="1:11" ht="12.75" x14ac:dyDescent="0.2">
      <c r="A274" s="51" t="str">
        <f ca="1">'Landscape Trees '!A87</f>
        <v>Euonymus americanus</v>
      </c>
      <c r="B274" s="51" t="str">
        <f ca="1">'Landscape Trees '!C87</f>
        <v>Strawberry Bush</v>
      </c>
      <c r="C274" s="42" t="str">
        <f ca="1">'Landscape Trees '!D87</f>
        <v>#5</v>
      </c>
      <c r="D274" s="42" t="str">
        <f ca="1">'Landscape Trees '!E87</f>
        <v>Multi</v>
      </c>
      <c r="E274" s="42" t="str">
        <f ca="1">'Landscape Trees '!F87</f>
        <v>0.5-0.5'</v>
      </c>
      <c r="F274" s="52">
        <f ca="1">'Landscape Trees '!G87</f>
        <v>6</v>
      </c>
      <c r="G274" s="53">
        <f ca="1">'Landscape Trees '!H87</f>
        <v>50</v>
      </c>
      <c r="H274" s="51" t="str">
        <f t="shared" ca="1" si="3"/>
        <v>Strawberry Bush #5</v>
      </c>
      <c r="I274" s="54"/>
      <c r="J274" s="55">
        <f t="shared" ca="1" si="2"/>
        <v>0</v>
      </c>
      <c r="K274" s="55"/>
    </row>
    <row r="275" spans="1:11" ht="12.75" x14ac:dyDescent="0.2">
      <c r="A275" s="51" t="str">
        <f ca="1">'Landscape Trees '!A88</f>
        <v>Fagus grandiflora</v>
      </c>
      <c r="B275" s="51" t="str">
        <f ca="1">'Landscape Trees '!C88</f>
        <v>American Beech</v>
      </c>
      <c r="C275" s="42" t="str">
        <f ca="1">'Landscape Trees '!D88</f>
        <v>#5</v>
      </c>
      <c r="D275" s="42" t="str">
        <f ca="1">'Landscape Trees '!E88</f>
        <v>0.75-1"</v>
      </c>
      <c r="E275" s="42" t="str">
        <f ca="1">'Landscape Trees '!F88</f>
        <v>4-7'</v>
      </c>
      <c r="F275" s="52">
        <f ca="1">'Landscape Trees '!G88</f>
        <v>48</v>
      </c>
      <c r="G275" s="53">
        <f ca="1">'Landscape Trees '!H88</f>
        <v>70</v>
      </c>
      <c r="H275" s="51" t="str">
        <f t="shared" ca="1" si="3"/>
        <v>American Beech #5</v>
      </c>
      <c r="I275" s="54"/>
      <c r="J275" s="55">
        <f t="shared" ca="1" si="2"/>
        <v>0</v>
      </c>
      <c r="K275" s="55"/>
    </row>
    <row r="276" spans="1:11" ht="12.75" x14ac:dyDescent="0.2">
      <c r="A276" s="51" t="str">
        <f ca="1">'Landscape Trees '!A89</f>
        <v>Fothergilla x 'Mt. Airy'</v>
      </c>
      <c r="B276" s="51" t="str">
        <f ca="1">'Landscape Trees '!C89</f>
        <v>Mt. Airy Fothergilla</v>
      </c>
      <c r="C276" s="42" t="str">
        <f ca="1">'Landscape Trees '!D89</f>
        <v>#5</v>
      </c>
      <c r="D276" s="42" t="str">
        <f ca="1">'Landscape Trees '!E89</f>
        <v>Multi</v>
      </c>
      <c r="E276" s="42" t="str">
        <f ca="1">'Landscape Trees '!F89</f>
        <v>1.5-2'</v>
      </c>
      <c r="F276" s="52">
        <f ca="1">'Landscape Trees '!G89</f>
        <v>34</v>
      </c>
      <c r="G276" s="53">
        <f ca="1">'Landscape Trees '!H89</f>
        <v>37</v>
      </c>
      <c r="H276" s="51" t="str">
        <f t="shared" ca="1" si="3"/>
        <v>Mt. Airy Fothergilla #5</v>
      </c>
      <c r="I276" s="54"/>
      <c r="J276" s="55">
        <f t="shared" ca="1" si="2"/>
        <v>0</v>
      </c>
      <c r="K276" s="55"/>
    </row>
    <row r="277" spans="1:11" ht="12.75" x14ac:dyDescent="0.2">
      <c r="A277" s="51" t="str">
        <f ca="1">'Landscape Trees '!A90</f>
        <v>Ginkgo biloba 'Autumn Gold'</v>
      </c>
      <c r="B277" s="51" t="str">
        <f ca="1">'Landscape Trees '!C90</f>
        <v>Autumn Gold Ginkgo</v>
      </c>
      <c r="C277" s="42" t="str">
        <f ca="1">'Landscape Trees '!D90</f>
        <v>#5</v>
      </c>
      <c r="D277" s="42" t="str">
        <f ca="1">'Landscape Trees '!E90</f>
        <v>0.5-0.75"</v>
      </c>
      <c r="E277" s="42" t="str">
        <f ca="1">'Landscape Trees '!F90</f>
        <v>4-4.5'</v>
      </c>
      <c r="F277" s="52">
        <f ca="1">'Landscape Trees '!G90</f>
        <v>1</v>
      </c>
      <c r="G277" s="53">
        <f ca="1">'Landscape Trees '!H90</f>
        <v>70</v>
      </c>
      <c r="H277" s="51" t="str">
        <f t="shared" ca="1" si="3"/>
        <v>Autumn Gold Ginkgo #5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'!A91</f>
        <v>Ginkgo biloba 'Autumn Gold'</v>
      </c>
      <c r="B278" s="51" t="str">
        <f ca="1">'Landscape Trees '!C91</f>
        <v>Autumn Gold Ginkgo</v>
      </c>
      <c r="C278" s="42" t="str">
        <f ca="1">'Landscape Trees '!D91</f>
        <v>#7</v>
      </c>
      <c r="D278" s="42" t="str">
        <f ca="1">'Landscape Trees '!E91</f>
        <v>0.5-0.75"</v>
      </c>
      <c r="E278" s="42" t="str">
        <f ca="1">'Landscape Trees '!F91</f>
        <v>4-7'</v>
      </c>
      <c r="F278" s="52">
        <f ca="1">'Landscape Trees '!G91</f>
        <v>19</v>
      </c>
      <c r="G278" s="53">
        <f ca="1">'Landscape Trees '!H91</f>
        <v>70</v>
      </c>
      <c r="H278" s="51" t="str">
        <f t="shared" ca="1" si="3"/>
        <v>Autumn Gold Ginkgo #7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'!A92</f>
        <v>Ginkgo biloba 'Autumn Gold'</v>
      </c>
      <c r="B279" s="51" t="str">
        <f ca="1">'Landscape Trees '!C92</f>
        <v>Autumn Gold Ginkgo</v>
      </c>
      <c r="C279" s="42" t="str">
        <f ca="1">'Landscape Trees '!D92</f>
        <v>#15</v>
      </c>
      <c r="D279" s="42" t="str">
        <f ca="1">'Landscape Trees '!E92</f>
        <v>0.75-1.25"</v>
      </c>
      <c r="E279" s="42" t="str">
        <f ca="1">'Landscape Trees '!F92</f>
        <v>7.5-9.5'</v>
      </c>
      <c r="F279" s="52">
        <f ca="1">'Landscape Trees '!G92</f>
        <v>7</v>
      </c>
      <c r="G279" s="53">
        <f ca="1">'Landscape Trees '!H92</f>
        <v>135</v>
      </c>
      <c r="H279" s="51" t="str">
        <f t="shared" ca="1" si="3"/>
        <v>Autumn Gold Ginkgo #15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'!A93</f>
        <v>Ginkgo biloba 'Magyar'</v>
      </c>
      <c r="B280" s="51" t="str">
        <f ca="1">'Landscape Trees '!C93</f>
        <v>Magyar Ginkgo</v>
      </c>
      <c r="C280" s="42" t="str">
        <f ca="1">'Landscape Trees '!D93</f>
        <v>#5</v>
      </c>
      <c r="D280" s="42" t="str">
        <f ca="1">'Landscape Trees '!E93</f>
        <v>0.75-1"</v>
      </c>
      <c r="E280" s="42" t="str">
        <f ca="1">'Landscape Trees '!F93</f>
        <v>6-7'</v>
      </c>
      <c r="F280" s="52">
        <f ca="1">'Landscape Trees '!G93</f>
        <v>5</v>
      </c>
      <c r="G280" s="53">
        <f ca="1">'Landscape Trees '!H93</f>
        <v>70</v>
      </c>
      <c r="H280" s="51" t="str">
        <f t="shared" ca="1" si="3"/>
        <v>Magyar Ginkgo #5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'!A94</f>
        <v>Ginkgo biloba 'Magyar'</v>
      </c>
      <c r="B281" s="51" t="str">
        <f ca="1">'Landscape Trees '!C94</f>
        <v>Magyar Ginkgo</v>
      </c>
      <c r="C281" s="42" t="str">
        <f ca="1">'Landscape Trees '!D94</f>
        <v>#7</v>
      </c>
      <c r="D281" s="42" t="str">
        <f ca="1">'Landscape Trees '!E94</f>
        <v>1-1.25"</v>
      </c>
      <c r="E281" s="42" t="str">
        <f ca="1">'Landscape Trees '!F94</f>
        <v>7-8'</v>
      </c>
      <c r="F281" s="52">
        <f ca="1">'Landscape Trees '!G94</f>
        <v>3</v>
      </c>
      <c r="G281" s="53">
        <f ca="1">'Landscape Trees '!H94</f>
        <v>70</v>
      </c>
      <c r="H281" s="51" t="str">
        <f t="shared" ca="1" si="3"/>
        <v>Magyar Ginkgo #7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'!A95</f>
        <v>Ginkgo biloba 'Magyar'</v>
      </c>
      <c r="B282" s="51" t="str">
        <f ca="1">'Landscape Trees '!C95</f>
        <v>Magyar Ginkgo</v>
      </c>
      <c r="C282" s="42" t="str">
        <f ca="1">'Landscape Trees '!D95</f>
        <v>#15</v>
      </c>
      <c r="D282" s="42" t="str">
        <f ca="1">'Landscape Trees '!E95</f>
        <v>1.25-1.5"</v>
      </c>
      <c r="E282" s="42" t="str">
        <f ca="1">'Landscape Trees '!F95</f>
        <v>7-10.5'</v>
      </c>
      <c r="F282" s="52">
        <f ca="1">'Landscape Trees '!G95</f>
        <v>7</v>
      </c>
      <c r="G282" s="53">
        <f ca="1">'Landscape Trees '!H95</f>
        <v>135</v>
      </c>
      <c r="H282" s="51" t="str">
        <f t="shared" ca="1" si="3"/>
        <v>Magyar Ginkgo #15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'!A96</f>
        <v>Ginkgo biloba 'Princeton Sentry'</v>
      </c>
      <c r="B283" s="51" t="str">
        <f ca="1">'Landscape Trees '!C96</f>
        <v>Princeton Sentry Ginkgo</v>
      </c>
      <c r="C283" s="42" t="str">
        <f ca="1">'Landscape Trees '!D96</f>
        <v>#7</v>
      </c>
      <c r="D283" s="42" t="str">
        <f ca="1">'Landscape Trees '!E96</f>
        <v>0.5-0.75"</v>
      </c>
      <c r="E283" s="42" t="str">
        <f ca="1">'Landscape Trees '!F96</f>
        <v>5-5.5'</v>
      </c>
      <c r="F283" s="52">
        <f ca="1">'Landscape Trees '!G96</f>
        <v>4</v>
      </c>
      <c r="G283" s="53">
        <f ca="1">'Landscape Trees '!H96</f>
        <v>70</v>
      </c>
      <c r="H283" s="51" t="str">
        <f t="shared" ca="1" si="3"/>
        <v>Princeton Sentry Ginkgo #7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'!A97</f>
        <v>Ginkgo biloba 'Princeton Sentry'</v>
      </c>
      <c r="B284" s="51" t="str">
        <f ca="1">'Landscape Trees '!C97</f>
        <v>Princeton Sentry Ginkgo</v>
      </c>
      <c r="C284" s="42" t="str">
        <f ca="1">'Landscape Trees '!D97</f>
        <v>#10</v>
      </c>
      <c r="D284" s="42" t="str">
        <f ca="1">'Landscape Trees '!E97</f>
        <v>1-1.25"</v>
      </c>
      <c r="E284" s="42" t="str">
        <f ca="1">'Landscape Trees '!F97</f>
        <v>5.5-6.5'</v>
      </c>
      <c r="F284" s="52">
        <f ca="1">'Landscape Trees '!G97</f>
        <v>3</v>
      </c>
      <c r="G284" s="53">
        <f ca="1">'Landscape Trees '!H97</f>
        <v>100</v>
      </c>
      <c r="H284" s="51" t="str">
        <f t="shared" ca="1" si="3"/>
        <v>Princeton Sentry Ginkgo #10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'!A98</f>
        <v>Ginkgo biloba 'Princeton Sentry'</v>
      </c>
      <c r="B285" s="51" t="str">
        <f ca="1">'Landscape Trees '!C98</f>
        <v xml:space="preserve">Princeton Sentry Ginkgo </v>
      </c>
      <c r="C285" s="42" t="str">
        <f ca="1">'Landscape Trees '!D98</f>
        <v>#15</v>
      </c>
      <c r="D285" s="42" t="str">
        <f ca="1">'Landscape Trees '!E98</f>
        <v>1-1.25"</v>
      </c>
      <c r="E285" s="42" t="str">
        <f ca="1">'Landscape Trees '!F98</f>
        <v>7-10'</v>
      </c>
      <c r="F285" s="52">
        <f ca="1">'Landscape Trees '!G98</f>
        <v>8</v>
      </c>
      <c r="G285" s="53">
        <f ca="1">'Landscape Trees '!H98</f>
        <v>135</v>
      </c>
      <c r="H285" s="51" t="str">
        <f t="shared" ca="1" si="3"/>
        <v>Princeton Sentry Ginkgo  #15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'!A99</f>
        <v>Ginkgo biloba 'Windover Gold'</v>
      </c>
      <c r="B286" s="51" t="str">
        <f ca="1">'Landscape Trees '!C99</f>
        <v>Windover Gold Ginkgo</v>
      </c>
      <c r="C286" s="42" t="str">
        <f ca="1">'Landscape Trees '!D99</f>
        <v>#15</v>
      </c>
      <c r="D286" s="42" t="str">
        <f ca="1">'Landscape Trees '!E99</f>
        <v>1.25-1.5"</v>
      </c>
      <c r="E286" s="42" t="str">
        <f ca="1">'Landscape Trees '!F99</f>
        <v>7-9'</v>
      </c>
      <c r="F286" s="52">
        <f ca="1">'Landscape Trees '!G99</f>
        <v>2</v>
      </c>
      <c r="G286" s="53">
        <f ca="1">'Landscape Trees '!H99</f>
        <v>135</v>
      </c>
      <c r="H286" s="51" t="str">
        <f t="shared" ca="1" si="3"/>
        <v>Windover Gold Ginkgo #15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'!A100</f>
        <v>Gleditsia triacanthos 'Shademaster'</v>
      </c>
      <c r="B287" s="51" t="str">
        <f ca="1">'Landscape Trees '!C100</f>
        <v>Shademaster Honeylocust</v>
      </c>
      <c r="C287" s="42" t="str">
        <f ca="1">'Landscape Trees '!D100</f>
        <v>#15</v>
      </c>
      <c r="D287" s="42" t="str">
        <f ca="1">'Landscape Trees '!E100</f>
        <v>0.5-1.5"</v>
      </c>
      <c r="E287" s="42" t="str">
        <f ca="1">'Landscape Trees '!F100</f>
        <v>7-12'</v>
      </c>
      <c r="F287" s="52">
        <f ca="1">'Landscape Trees '!G100</f>
        <v>24</v>
      </c>
      <c r="G287" s="53">
        <f ca="1">'Landscape Trees '!H100</f>
        <v>135</v>
      </c>
      <c r="H287" s="51" t="str">
        <f t="shared" ca="1" si="3"/>
        <v>Shademaster Honeylocust #15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'!A101</f>
        <v>Gleditsia triacanthos 'Skyline'</v>
      </c>
      <c r="B288" s="51" t="str">
        <f ca="1">'Landscape Trees '!C101</f>
        <v>Skyline Honeylocust</v>
      </c>
      <c r="C288" s="42" t="str">
        <f ca="1">'Landscape Trees '!D101</f>
        <v>#15</v>
      </c>
      <c r="D288" s="42" t="str">
        <f ca="1">'Landscape Trees '!E101</f>
        <v>0.75-1.75"</v>
      </c>
      <c r="E288" s="42" t="str">
        <f ca="1">'Landscape Trees '!F101</f>
        <v>8-13'</v>
      </c>
      <c r="F288" s="52">
        <f ca="1">'Landscape Trees '!G101</f>
        <v>31</v>
      </c>
      <c r="G288" s="53">
        <f ca="1">'Landscape Trees '!H101</f>
        <v>135</v>
      </c>
      <c r="H288" s="51" t="str">
        <f t="shared" ca="1" si="3"/>
        <v>Skyline Honeylocust #15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'!A102</f>
        <v>Gymnocladus dioicus</v>
      </c>
      <c r="B289" s="51" t="str">
        <f ca="1">'Landscape Trees '!C102</f>
        <v>Kentucky Coffeetree</v>
      </c>
      <c r="C289" s="42" t="str">
        <f ca="1">'Landscape Trees '!D102</f>
        <v>#5</v>
      </c>
      <c r="D289" s="42" t="str">
        <f ca="1">'Landscape Trees '!E102</f>
        <v>0.5-1.25"</v>
      </c>
      <c r="E289" s="42" t="str">
        <f ca="1">'Landscape Trees '!F102</f>
        <v>3-7'</v>
      </c>
      <c r="F289" s="52">
        <f ca="1">'Landscape Trees '!G102</f>
        <v>42</v>
      </c>
      <c r="G289" s="53">
        <f ca="1">'Landscape Trees '!H102</f>
        <v>40</v>
      </c>
      <c r="H289" s="51" t="str">
        <f t="shared" ca="1" si="3"/>
        <v>Kentucky Coffeetree #5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'!A103</f>
        <v>Gymnocladus dioicus</v>
      </c>
      <c r="B290" s="51" t="str">
        <f ca="1">'Landscape Trees '!C103</f>
        <v>Kentucky Coffeetree</v>
      </c>
      <c r="C290" s="42" t="str">
        <f ca="1">'Landscape Trees '!D103</f>
        <v>#15</v>
      </c>
      <c r="D290" s="42" t="str">
        <f ca="1">'Landscape Trees '!E103</f>
        <v>1.25-1.75"</v>
      </c>
      <c r="E290" s="42" t="str">
        <f ca="1">'Landscape Trees '!F103</f>
        <v>9-14'</v>
      </c>
      <c r="F290" s="52">
        <f ca="1">'Landscape Trees '!G103</f>
        <v>15</v>
      </c>
      <c r="G290" s="53">
        <f ca="1">'Landscape Trees '!H103</f>
        <v>135</v>
      </c>
      <c r="H290" s="51" t="str">
        <f t="shared" ca="1" si="3"/>
        <v>Kentucky Coffeetree #15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'!A104</f>
        <v xml:space="preserve">Gymnocladus dioicus </v>
      </c>
      <c r="B291" s="51" t="str">
        <f ca="1">'Landscape Trees '!C104</f>
        <v xml:space="preserve">Kentucky Coffeetree (Cultivar) </v>
      </c>
      <c r="C291" s="42" t="str">
        <f ca="1">'Landscape Trees '!D104</f>
        <v>#15</v>
      </c>
      <c r="D291" s="42" t="str">
        <f ca="1">'Landscape Trees '!E104</f>
        <v>1.25-2"</v>
      </c>
      <c r="E291" s="42" t="str">
        <f ca="1">'Landscape Trees '!F104</f>
        <v>6-16'</v>
      </c>
      <c r="F291" s="52">
        <f ca="1">'Landscape Trees '!G104</f>
        <v>10</v>
      </c>
      <c r="G291" s="53">
        <f ca="1">'Landscape Trees '!H104</f>
        <v>135</v>
      </c>
      <c r="H291" s="51" t="str">
        <f t="shared" ca="1" si="3"/>
        <v>Kentucky Coffeetree (Cultivar)  #15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'!A105</f>
        <v xml:space="preserve">Gymnocladus dioicus </v>
      </c>
      <c r="B292" s="51" t="str">
        <f ca="1">'Landscape Trees '!C105</f>
        <v xml:space="preserve">Kentucky Coffeetree (Cultivar) </v>
      </c>
      <c r="C292" s="42" t="str">
        <f ca="1">'Landscape Trees '!D105</f>
        <v>#25</v>
      </c>
      <c r="D292" s="42" t="str">
        <f ca="1">'Landscape Trees '!E105</f>
        <v>1.75-2"</v>
      </c>
      <c r="E292" s="42" t="str">
        <f ca="1">'Landscape Trees '!F105</f>
        <v>14-16'</v>
      </c>
      <c r="F292" s="52">
        <f ca="1">'Landscape Trees '!G105</f>
        <v>2</v>
      </c>
      <c r="G292" s="53">
        <f ca="1">'Landscape Trees '!H105</f>
        <v>150</v>
      </c>
      <c r="H292" s="51" t="str">
        <f t="shared" ca="1" si="3"/>
        <v>Kentucky Coffeetree (Cultivar)  #25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'!A106</f>
        <v>Halesia carolina</v>
      </c>
      <c r="B293" s="51" t="str">
        <f ca="1">'Landscape Trees '!C106</f>
        <v>Carolina Silverbell</v>
      </c>
      <c r="C293" s="42" t="str">
        <f ca="1">'Landscape Trees '!D106</f>
        <v>#5</v>
      </c>
      <c r="D293" s="42" t="str">
        <f ca="1">'Landscape Trees '!E106</f>
        <v>0.25-1"</v>
      </c>
      <c r="E293" s="42" t="str">
        <f ca="1">'Landscape Trees '!F106</f>
        <v>3-9'</v>
      </c>
      <c r="F293" s="52">
        <f ca="1">'Landscape Trees '!G106</f>
        <v>2</v>
      </c>
      <c r="G293" s="53">
        <f ca="1">'Landscape Trees '!H106</f>
        <v>50</v>
      </c>
      <c r="H293" s="51" t="str">
        <f t="shared" ca="1" si="3"/>
        <v>Carolina Silverbell #5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'!A107</f>
        <v>Hamamelis virginiana</v>
      </c>
      <c r="B294" s="51" t="str">
        <f ca="1">'Landscape Trees '!C107</f>
        <v>Witch Hazel</v>
      </c>
      <c r="C294" s="42" t="str">
        <f ca="1">'Landscape Trees '!D107</f>
        <v>#5</v>
      </c>
      <c r="D294" s="42" t="str">
        <f ca="1">'Landscape Trees '!E107</f>
        <v>Multi</v>
      </c>
      <c r="E294" s="42" t="str">
        <f ca="1">'Landscape Trees '!F107</f>
        <v>3-4.5'</v>
      </c>
      <c r="F294" s="52">
        <f ca="1">'Landscape Trees '!G107</f>
        <v>29</v>
      </c>
      <c r="G294" s="53">
        <f ca="1">'Landscape Trees '!H107</f>
        <v>50</v>
      </c>
      <c r="H294" s="51" t="str">
        <f t="shared" ca="1" si="3"/>
        <v>Witch Hazel #5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'!A108</f>
        <v>Hamamelis x 'Diane'</v>
      </c>
      <c r="B295" s="51" t="str">
        <f ca="1">'Landscape Trees '!C108</f>
        <v>Diane Witch Hazel</v>
      </c>
      <c r="C295" s="42" t="str">
        <f ca="1">'Landscape Trees '!D108</f>
        <v>#5</v>
      </c>
      <c r="D295" s="42" t="str">
        <f ca="1">'Landscape Trees '!E108</f>
        <v>Multi</v>
      </c>
      <c r="E295" s="42" t="str">
        <f ca="1">'Landscape Trees '!F108</f>
        <v>2.5-3.5'</v>
      </c>
      <c r="F295" s="52">
        <f ca="1">'Landscape Trees '!G108</f>
        <v>5</v>
      </c>
      <c r="G295" s="53">
        <f ca="1">'Landscape Trees '!H108</f>
        <v>50</v>
      </c>
      <c r="H295" s="51" t="str">
        <f t="shared" ca="1" si="3"/>
        <v>Diane Witch Hazel #5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'!A109</f>
        <v>Hydrangea que. 'Ruby slippers'</v>
      </c>
      <c r="B296" s="51" t="str">
        <f ca="1">'Landscape Trees '!C109</f>
        <v>Ruby Slippers Oakleaf Hydrangea</v>
      </c>
      <c r="C296" s="42" t="str">
        <f ca="1">'Landscape Trees '!D109</f>
        <v>#5</v>
      </c>
      <c r="D296" s="42" t="str">
        <f ca="1">'Landscape Trees '!E109</f>
        <v>Multi</v>
      </c>
      <c r="E296" s="42" t="str">
        <f ca="1">'Landscape Trees '!F109</f>
        <v>1-2'</v>
      </c>
      <c r="F296" s="52">
        <f ca="1">'Landscape Trees '!G109</f>
        <v>40</v>
      </c>
      <c r="G296" s="53">
        <f ca="1">'Landscape Trees '!H109</f>
        <v>37</v>
      </c>
      <c r="H296" s="51" t="str">
        <f t="shared" ca="1" si="3"/>
        <v>Ruby Slippers Oakleaf Hydrangea #5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'!A110</f>
        <v>Hydrangea que. 'Snow Queen'</v>
      </c>
      <c r="B297" s="51" t="str">
        <f ca="1">'Landscape Trees '!C110</f>
        <v>Snow Queen Oakleaf Hydrangea</v>
      </c>
      <c r="C297" s="42" t="str">
        <f ca="1">'Landscape Trees '!D110</f>
        <v>#5</v>
      </c>
      <c r="D297" s="42" t="str">
        <f ca="1">'Landscape Trees '!E110</f>
        <v>Multi</v>
      </c>
      <c r="E297" s="42" t="str">
        <f ca="1">'Landscape Trees '!F110</f>
        <v>3-5'</v>
      </c>
      <c r="F297" s="52">
        <f ca="1">'Landscape Trees '!G110</f>
        <v>37</v>
      </c>
      <c r="G297" s="53">
        <f ca="1">'Landscape Trees '!H110</f>
        <v>37</v>
      </c>
      <c r="H297" s="51" t="str">
        <f t="shared" ca="1" si="3"/>
        <v>Snow Queen Oakleaf Hydrangea #5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'!A111</f>
        <v>Ilex glabra</v>
      </c>
      <c r="B298" s="51" t="str">
        <f ca="1">'Landscape Trees '!C111</f>
        <v>Inkberry</v>
      </c>
      <c r="C298" s="42" t="str">
        <f ca="1">'Landscape Trees '!D111</f>
        <v>#5</v>
      </c>
      <c r="D298" s="42" t="str">
        <f ca="1">'Landscape Trees '!E111</f>
        <v>Multi</v>
      </c>
      <c r="E298" s="42" t="str">
        <f ca="1">'Landscape Trees '!F111</f>
        <v>1-1.5'</v>
      </c>
      <c r="F298" s="52">
        <f ca="1">'Landscape Trees '!G111</f>
        <v>6</v>
      </c>
      <c r="G298" s="53">
        <f ca="1">'Landscape Trees '!H111</f>
        <v>37</v>
      </c>
      <c r="H298" s="51" t="str">
        <f t="shared" ca="1" si="3"/>
        <v>Inkberry #5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'!A112</f>
        <v>Ilex verticillata 'Winter Red'</v>
      </c>
      <c r="B299" s="51" t="str">
        <f ca="1">'Landscape Trees '!C112</f>
        <v>Winter Red Winterberry Holly</v>
      </c>
      <c r="C299" s="42" t="str">
        <f ca="1">'Landscape Trees '!D112</f>
        <v>#5</v>
      </c>
      <c r="D299" s="42" t="str">
        <f ca="1">'Landscape Trees '!E112</f>
        <v>Multi</v>
      </c>
      <c r="E299" s="42" t="str">
        <f ca="1">'Landscape Trees '!F112</f>
        <v>2-4'</v>
      </c>
      <c r="F299" s="52">
        <f ca="1">'Landscape Trees '!G112</f>
        <v>119</v>
      </c>
      <c r="G299" s="53">
        <f ca="1">'Landscape Trees '!H112</f>
        <v>35</v>
      </c>
      <c r="H299" s="51" t="str">
        <f t="shared" ca="1" si="3"/>
        <v>Winter Red Winterberry Holly #5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'!A113</f>
        <v>Juniper chinensis 'Spartan'</v>
      </c>
      <c r="B300" s="51" t="str">
        <f ca="1">'Landscape Trees '!C113</f>
        <v>Spartan Juniper</v>
      </c>
      <c r="C300" s="42" t="str">
        <f ca="1">'Landscape Trees '!D113</f>
        <v>#3</v>
      </c>
      <c r="D300" s="42" t="str">
        <f ca="1">'Landscape Trees '!E113</f>
        <v>0.75-1"</v>
      </c>
      <c r="E300" s="42" t="str">
        <f ca="1">'Landscape Trees '!F113</f>
        <v>4-4'</v>
      </c>
      <c r="F300" s="52">
        <f ca="1">'Landscape Trees '!G113</f>
        <v>5</v>
      </c>
      <c r="G300" s="53">
        <f ca="1">'Landscape Trees '!H113</f>
        <v>50</v>
      </c>
      <c r="H300" s="51" t="str">
        <f t="shared" ca="1" si="3"/>
        <v>Spartan Juniper #3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'!A114</f>
        <v>Lindera benzoin</v>
      </c>
      <c r="B301" s="51" t="str">
        <f ca="1">'Landscape Trees '!C114</f>
        <v>Spicebush</v>
      </c>
      <c r="C301" s="42" t="str">
        <f ca="1">'Landscape Trees '!D114</f>
        <v>#5</v>
      </c>
      <c r="D301" s="42" t="str">
        <f ca="1">'Landscape Trees '!E114</f>
        <v>0.25-0.5"</v>
      </c>
      <c r="E301" s="42" t="str">
        <f ca="1">'Landscape Trees '!F114</f>
        <v>2-3'</v>
      </c>
      <c r="F301" s="52">
        <f ca="1">'Landscape Trees '!G114</f>
        <v>99</v>
      </c>
      <c r="G301" s="53">
        <f ca="1">'Landscape Trees '!H114</f>
        <v>37</v>
      </c>
      <c r="H301" s="51" t="str">
        <f t="shared" ca="1" si="3"/>
        <v>Spicebush #5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'!A115</f>
        <v>Liquidambar styraciflua</v>
      </c>
      <c r="B302" s="51" t="str">
        <f ca="1">'Landscape Trees '!C115</f>
        <v>Sweet Gum</v>
      </c>
      <c r="C302" s="42" t="str">
        <f ca="1">'Landscape Trees '!D115</f>
        <v>#5</v>
      </c>
      <c r="D302" s="42" t="str">
        <f ca="1">'Landscape Trees '!E115</f>
        <v>0.25-1.25"</v>
      </c>
      <c r="E302" s="42" t="str">
        <f ca="1">'Landscape Trees '!F115</f>
        <v>3-8'</v>
      </c>
      <c r="F302" s="52">
        <f ca="1">'Landscape Trees '!G115</f>
        <v>32</v>
      </c>
      <c r="G302" s="53">
        <f ca="1">'Landscape Trees '!H115</f>
        <v>50</v>
      </c>
      <c r="H302" s="51" t="str">
        <f t="shared" ca="1" si="3"/>
        <v>Sweet Gum #5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'!A116</f>
        <v>Liquidambar styraciflua 'Hapdell' Happidaze</v>
      </c>
      <c r="B303" s="51" t="str">
        <f ca="1">'Landscape Trees '!C116</f>
        <v>Happidaze Sweetgum</v>
      </c>
      <c r="C303" s="42" t="str">
        <f ca="1">'Landscape Trees '!D116</f>
        <v>#10</v>
      </c>
      <c r="D303" s="42" t="str">
        <f ca="1">'Landscape Trees '!E116</f>
        <v>1-1.25"</v>
      </c>
      <c r="E303" s="42" t="str">
        <f ca="1">'Landscape Trees '!F116</f>
        <v>6-8'</v>
      </c>
      <c r="F303" s="52">
        <f ca="1">'Landscape Trees '!G116</f>
        <v>1</v>
      </c>
      <c r="G303" s="53">
        <f ca="1">'Landscape Trees '!H116</f>
        <v>100</v>
      </c>
      <c r="H303" s="51" t="str">
        <f t="shared" ca="1" si="3"/>
        <v>Happidaze Sweetgum #10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'!A117</f>
        <v>Liquidambar styraciflua 'Silver King'</v>
      </c>
      <c r="B304" s="51" t="str">
        <f ca="1">'Landscape Trees '!C117</f>
        <v>Silver King Sweet Gum</v>
      </c>
      <c r="C304" s="42" t="str">
        <f ca="1">'Landscape Trees '!D117</f>
        <v>#10</v>
      </c>
      <c r="D304" s="42" t="str">
        <f ca="1">'Landscape Trees '!E117</f>
        <v>1.25-1.25"</v>
      </c>
      <c r="E304" s="42" t="str">
        <f ca="1">'Landscape Trees '!F117</f>
        <v>7-9'</v>
      </c>
      <c r="F304" s="52">
        <f ca="1">'Landscape Trees '!G117</f>
        <v>7</v>
      </c>
      <c r="G304" s="53">
        <f ca="1">'Landscape Trees '!H117</f>
        <v>100</v>
      </c>
      <c r="H304" s="51" t="str">
        <f t="shared" ca="1" si="3"/>
        <v>Silver King Sweet Gum #10</v>
      </c>
      <c r="I304" s="54"/>
      <c r="J304" s="55">
        <f t="shared" ca="1" si="2"/>
        <v>0</v>
      </c>
      <c r="K304" s="55"/>
    </row>
    <row r="305" spans="1:11" ht="12.75" x14ac:dyDescent="0.2">
      <c r="A305" s="51" t="str">
        <f ca="1">'Landscape Trees '!A118</f>
        <v>Liquidambar styraciflua 'Worplesdon'</v>
      </c>
      <c r="B305" s="51" t="str">
        <f ca="1">'Landscape Trees '!C118</f>
        <v>Worplesdon Sweetgum</v>
      </c>
      <c r="C305" s="42" t="str">
        <f ca="1">'Landscape Trees '!D118</f>
        <v>#15</v>
      </c>
      <c r="D305" s="42" t="str">
        <f ca="1">'Landscape Trees '!E118</f>
        <v>1.25-1.25"</v>
      </c>
      <c r="E305" s="42" t="str">
        <f ca="1">'Landscape Trees '!F118</f>
        <v>7-8'</v>
      </c>
      <c r="F305" s="52">
        <f ca="1">'Landscape Trees '!G118</f>
        <v>10</v>
      </c>
      <c r="G305" s="53">
        <f ca="1">'Landscape Trees '!H118</f>
        <v>135</v>
      </c>
      <c r="H305" s="51" t="str">
        <f t="shared" ca="1" si="3"/>
        <v>Worplesdon Sweetgum #15</v>
      </c>
      <c r="I305" s="54"/>
      <c r="J305" s="55">
        <f t="shared" ca="1" si="2"/>
        <v>0</v>
      </c>
      <c r="K305" s="55"/>
    </row>
    <row r="306" spans="1:11" ht="12.75" x14ac:dyDescent="0.2">
      <c r="A306" s="51" t="str">
        <f ca="1">'Landscape Trees '!A119</f>
        <v>Liriodendron tulipifera</v>
      </c>
      <c r="B306" s="51" t="str">
        <f ca="1">'Landscape Trees '!C119</f>
        <v>Tulip Poplar</v>
      </c>
      <c r="C306" s="42" t="str">
        <f ca="1">'Landscape Trees '!D119</f>
        <v>#5</v>
      </c>
      <c r="D306" s="42" t="str">
        <f ca="1">'Landscape Trees '!E119</f>
        <v>0.5-1.5"</v>
      </c>
      <c r="E306" s="42" t="str">
        <f ca="1">'Landscape Trees '!F119</f>
        <v>5-13'</v>
      </c>
      <c r="F306" s="52">
        <f ca="1">'Landscape Trees '!G119</f>
        <v>209</v>
      </c>
      <c r="G306" s="53">
        <f ca="1">'Landscape Trees '!H119</f>
        <v>50</v>
      </c>
      <c r="H306" s="51" t="str">
        <f t="shared" ca="1" si="3"/>
        <v>Tulip Poplar #5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'!A120</f>
        <v>Magnolia 'Black Tulip'</v>
      </c>
      <c r="B307" s="51" t="str">
        <f ca="1">'Landscape Trees '!C120</f>
        <v>Black Tulip Magnolia</v>
      </c>
      <c r="C307" s="42" t="str">
        <f ca="1">'Landscape Trees '!D120</f>
        <v>#5</v>
      </c>
      <c r="D307" s="42" t="str">
        <f ca="1">'Landscape Trees '!E120</f>
        <v>Multi</v>
      </c>
      <c r="E307" s="42" t="str">
        <f ca="1">'Landscape Trees '!F120</f>
        <v>3-3.5'</v>
      </c>
      <c r="F307" s="52">
        <f ca="1">'Landscape Trees '!G120</f>
        <v>3</v>
      </c>
      <c r="G307" s="53">
        <f ca="1">'Landscape Trees '!H120</f>
        <v>70</v>
      </c>
      <c r="H307" s="51" t="str">
        <f t="shared" ca="1" si="3"/>
        <v>Black Tulip Magnolia #5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'!A121</f>
        <v>Magnolia 'Galaxy'</v>
      </c>
      <c r="B308" s="51" t="str">
        <f ca="1">'Landscape Trees '!C121</f>
        <v>Galaxy Magnolia</v>
      </c>
      <c r="C308" s="42" t="str">
        <f ca="1">'Landscape Trees '!D121</f>
        <v>#5</v>
      </c>
      <c r="D308" s="42" t="str">
        <f ca="1">'Landscape Trees '!E121</f>
        <v>0.5-0.75"</v>
      </c>
      <c r="E308" s="42" t="str">
        <f ca="1">'Landscape Trees '!F121</f>
        <v>4-5.5'</v>
      </c>
      <c r="F308" s="52">
        <f ca="1">'Landscape Trees '!G121</f>
        <v>17</v>
      </c>
      <c r="G308" s="53">
        <f ca="1">'Landscape Trees '!H121</f>
        <v>70</v>
      </c>
      <c r="H308" s="51" t="str">
        <f t="shared" ca="1" si="3"/>
        <v>Galaxy Magnolia #5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'!A122</f>
        <v>Magnolia 'Yellow Bird'</v>
      </c>
      <c r="B309" s="51" t="str">
        <f ca="1">'Landscape Trees '!C122</f>
        <v>Yellow Bird Magnolia</v>
      </c>
      <c r="C309" s="42" t="str">
        <f ca="1">'Landscape Trees '!D122</f>
        <v>#5</v>
      </c>
      <c r="D309" s="42" t="str">
        <f ca="1">'Landscape Trees '!E122</f>
        <v>Multi</v>
      </c>
      <c r="E309" s="42" t="str">
        <f ca="1">'Landscape Trees '!F122</f>
        <v>3-6'</v>
      </c>
      <c r="F309" s="52">
        <f ca="1">'Landscape Trees '!G122</f>
        <v>63</v>
      </c>
      <c r="G309" s="53">
        <f ca="1">'Landscape Trees '!H122</f>
        <v>70</v>
      </c>
      <c r="H309" s="51" t="str">
        <f t="shared" ca="1" si="3"/>
        <v>Yellow Bird Magnolia #5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'!A123</f>
        <v>Magnolia ashei</v>
      </c>
      <c r="B310" s="51" t="str">
        <f ca="1">'Landscape Trees '!C123</f>
        <v>Ashe's Magnolia</v>
      </c>
      <c r="C310" s="42" t="str">
        <f ca="1">'Landscape Trees '!D123</f>
        <v>#5</v>
      </c>
      <c r="D310" s="42" t="str">
        <f ca="1">'Landscape Trees '!E123</f>
        <v>0.5-0.5"</v>
      </c>
      <c r="E310" s="42" t="str">
        <f ca="1">'Landscape Trees '!F123</f>
        <v>2-6'</v>
      </c>
      <c r="F310" s="52">
        <f ca="1">'Landscape Trees '!G123</f>
        <v>25</v>
      </c>
      <c r="G310" s="53">
        <f ca="1">'Landscape Trees '!H123</f>
        <v>50</v>
      </c>
      <c r="H310" s="51" t="str">
        <f t="shared" ca="1" si="3"/>
        <v>Ashe's Magnolia #5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'!A124</f>
        <v>Magnolia gra. 'D.D. Blanchard'</v>
      </c>
      <c r="B311" s="51" t="str">
        <f ca="1">'Landscape Trees '!C124</f>
        <v>DD Blanchard Magnolia</v>
      </c>
      <c r="C311" s="42" t="str">
        <f ca="1">'Landscape Trees '!D124</f>
        <v>#10</v>
      </c>
      <c r="D311" s="42" t="str">
        <f ca="1">'Landscape Trees '!E124</f>
        <v>Multi</v>
      </c>
      <c r="E311" s="42" t="str">
        <f ca="1">'Landscape Trees '!F124</f>
        <v>6-7'</v>
      </c>
      <c r="F311" s="52">
        <f ca="1">'Landscape Trees '!G124</f>
        <v>6</v>
      </c>
      <c r="G311" s="53">
        <f ca="1">'Landscape Trees '!H124</f>
        <v>120</v>
      </c>
      <c r="H311" s="51" t="str">
        <f t="shared" ca="1" si="3"/>
        <v>DD Blanchard Magnolia #10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'!A125</f>
        <v>Magnolia macrophylla</v>
      </c>
      <c r="B312" s="51" t="str">
        <f ca="1">'Landscape Trees '!C125</f>
        <v>Bigleaf Magnolia</v>
      </c>
      <c r="C312" s="42" t="str">
        <f ca="1">'Landscape Trees '!D125</f>
        <v>#5</v>
      </c>
      <c r="D312" s="42" t="str">
        <f ca="1">'Landscape Trees '!E125</f>
        <v>0.25-0.5"</v>
      </c>
      <c r="E312" s="42" t="str">
        <f ca="1">'Landscape Trees '!F125</f>
        <v>3-3.5'</v>
      </c>
      <c r="F312" s="52">
        <f ca="1">'Landscape Trees '!G125</f>
        <v>3</v>
      </c>
      <c r="G312" s="53">
        <f ca="1">'Landscape Trees '!H125</f>
        <v>70</v>
      </c>
      <c r="H312" s="51" t="str">
        <f t="shared" ca="1" si="3"/>
        <v>Bigleaf Magnolia #5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'!A126</f>
        <v>Magnolia tripetala</v>
      </c>
      <c r="B313" s="51" t="str">
        <f ca="1">'Landscape Trees '!C126</f>
        <v>Umbrella Magnolia</v>
      </c>
      <c r="C313" s="42" t="str">
        <f ca="1">'Landscape Trees '!D126</f>
        <v>#5</v>
      </c>
      <c r="D313" s="42" t="str">
        <f ca="1">'Landscape Trees '!E126</f>
        <v>0.25-0.25"</v>
      </c>
      <c r="E313" s="42" t="str">
        <f ca="1">'Landscape Trees '!F126</f>
        <v>3-5'</v>
      </c>
      <c r="F313" s="52">
        <f ca="1">'Landscape Trees '!G126</f>
        <v>6</v>
      </c>
      <c r="G313" s="53">
        <f ca="1">'Landscape Trees '!H126</f>
        <v>70</v>
      </c>
      <c r="H313" s="51" t="str">
        <f t="shared" ca="1" si="3"/>
        <v>Umbrella Magnolia #5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'!A127</f>
        <v>Magnolia virginiana</v>
      </c>
      <c r="B314" s="51" t="str">
        <f ca="1">'Landscape Trees '!C127</f>
        <v>Sweet Bay Magnolia</v>
      </c>
      <c r="C314" s="42" t="str">
        <f ca="1">'Landscape Trees '!D127</f>
        <v>#5</v>
      </c>
      <c r="D314" s="42" t="str">
        <f ca="1">'Landscape Trees '!E127</f>
        <v>Multi</v>
      </c>
      <c r="E314" s="42" t="str">
        <f ca="1">'Landscape Trees '!F127</f>
        <v>3-6'</v>
      </c>
      <c r="F314" s="52">
        <f ca="1">'Landscape Trees '!G127</f>
        <v>2</v>
      </c>
      <c r="G314" s="53">
        <f ca="1">'Landscape Trees '!H127</f>
        <v>50</v>
      </c>
      <c r="H314" s="51" t="str">
        <f t="shared" ca="1" si="3"/>
        <v>Sweet Bay Magnolia #5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'!A128</f>
        <v>Magnolia virginiana 'Moonglow'</v>
      </c>
      <c r="B315" s="51" t="str">
        <f ca="1">'Landscape Trees '!C128</f>
        <v>Moonglow Magnolia</v>
      </c>
      <c r="C315" s="42" t="str">
        <f ca="1">'Landscape Trees '!D128</f>
        <v>#5</v>
      </c>
      <c r="D315" s="42" t="str">
        <f ca="1">'Landscape Trees '!E128</f>
        <v>0.5-1"</v>
      </c>
      <c r="E315" s="42" t="str">
        <f ca="1">'Landscape Trees '!F128</f>
        <v>3-7'</v>
      </c>
      <c r="F315" s="52">
        <f ca="1">'Landscape Trees '!G128</f>
        <v>29</v>
      </c>
      <c r="G315" s="53">
        <f ca="1">'Landscape Trees '!H128</f>
        <v>50</v>
      </c>
      <c r="H315" s="51" t="str">
        <f t="shared" ca="1" si="3"/>
        <v>Moonglow Magnolia #5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'!A129</f>
        <v>Magnolia x 'Ann'</v>
      </c>
      <c r="B316" s="51" t="str">
        <f ca="1">'Landscape Trees '!C129</f>
        <v>Ann Magnolia</v>
      </c>
      <c r="C316" s="42" t="str">
        <f ca="1">'Landscape Trees '!D129</f>
        <v>#5</v>
      </c>
      <c r="D316" s="42" t="str">
        <f ca="1">'Landscape Trees '!E129</f>
        <v>Multi</v>
      </c>
      <c r="E316" s="42" t="str">
        <f ca="1">'Landscape Trees '!F129</f>
        <v>5-7'</v>
      </c>
      <c r="F316" s="52">
        <f ca="1">'Landscape Trees '!G129</f>
        <v>2</v>
      </c>
      <c r="G316" s="53">
        <f ca="1">'Landscape Trees '!H129</f>
        <v>70</v>
      </c>
      <c r="H316" s="51" t="str">
        <f t="shared" ca="1" si="3"/>
        <v>Ann Magnolia #5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'!A130</f>
        <v>Magnolia x 'Jane'</v>
      </c>
      <c r="B317" s="51" t="str">
        <f ca="1">'Landscape Trees '!C130</f>
        <v>Jane Magnolia</v>
      </c>
      <c r="C317" s="42" t="str">
        <f ca="1">'Landscape Trees '!D130</f>
        <v>#5</v>
      </c>
      <c r="D317" s="42" t="str">
        <f ca="1">'Landscape Trees '!E130</f>
        <v>Multi</v>
      </c>
      <c r="E317" s="42" t="str">
        <f ca="1">'Landscape Trees '!F130</f>
        <v>4-5'</v>
      </c>
      <c r="F317" s="52">
        <f ca="1">'Landscape Trees '!G130</f>
        <v>6</v>
      </c>
      <c r="G317" s="53">
        <f ca="1">'Landscape Trees '!H130</f>
        <v>70</v>
      </c>
      <c r="H317" s="51" t="str">
        <f t="shared" ca="1" si="3"/>
        <v>Jane Magnolia #5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'!A131</f>
        <v>Malus 'Prairifire'</v>
      </c>
      <c r="B318" s="51" t="str">
        <f ca="1">'Landscape Trees '!C131</f>
        <v>Prairifire Crabapple</v>
      </c>
      <c r="C318" s="42" t="str">
        <f ca="1">'Landscape Trees '!D131</f>
        <v>#5</v>
      </c>
      <c r="D318" s="42" t="str">
        <f ca="1">'Landscape Trees '!E131</f>
        <v>0.5-1"</v>
      </c>
      <c r="E318" s="42" t="str">
        <f ca="1">'Landscape Trees '!F131</f>
        <v>5-7.5'</v>
      </c>
      <c r="F318" s="52">
        <f ca="1">'Landscape Trees '!G131</f>
        <v>9</v>
      </c>
      <c r="G318" s="53">
        <f ca="1">'Landscape Trees '!H131</f>
        <v>50</v>
      </c>
      <c r="H318" s="51" t="str">
        <f t="shared" ca="1" si="3"/>
        <v>Prairifire Crabapple #5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'!A132</f>
        <v>Malus 'Prairifire'</v>
      </c>
      <c r="B319" s="51" t="str">
        <f ca="1">'Landscape Trees '!C132</f>
        <v>Prairifire Crabapple</v>
      </c>
      <c r="C319" s="42" t="str">
        <f ca="1">'Landscape Trees '!D132</f>
        <v>#15</v>
      </c>
      <c r="D319" s="42" t="str">
        <f ca="1">'Landscape Trees '!E132</f>
        <v>0.75-1.25"</v>
      </c>
      <c r="E319" s="42" t="str">
        <f ca="1">'Landscape Trees '!F132</f>
        <v>8-10'</v>
      </c>
      <c r="F319" s="52">
        <f ca="1">'Landscape Trees '!G132</f>
        <v>21</v>
      </c>
      <c r="G319" s="53">
        <f ca="1">'Landscape Trees '!H132</f>
        <v>135</v>
      </c>
      <c r="H319" s="51" t="str">
        <f t="shared" ca="1" si="3"/>
        <v>Prairifire Crabapple #15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'!A133</f>
        <v>Malus 'Sugar Tyme'</v>
      </c>
      <c r="B320" s="51" t="str">
        <f ca="1">'Landscape Trees '!C133</f>
        <v>Sugar Tyme Crabapple</v>
      </c>
      <c r="C320" s="42" t="str">
        <f ca="1">'Landscape Trees '!D133</f>
        <v>#15</v>
      </c>
      <c r="D320" s="42" t="str">
        <f ca="1">'Landscape Trees '!E133</f>
        <v>1-1.75"</v>
      </c>
      <c r="E320" s="42" t="str">
        <f ca="1">'Landscape Trees '!F133</f>
        <v>8-10'</v>
      </c>
      <c r="F320" s="52">
        <f ca="1">'Landscape Trees '!G133</f>
        <v>26</v>
      </c>
      <c r="G320" s="53">
        <f ca="1">'Landscape Trees '!H133</f>
        <v>135</v>
      </c>
      <c r="H320" s="51" t="str">
        <f t="shared" ca="1" si="3"/>
        <v>Sugar Tyme Crabapple #15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'!A134</f>
        <v>Malus dolgo</v>
      </c>
      <c r="B321" s="51" t="str">
        <f ca="1">'Landscape Trees '!C134</f>
        <v>Dolgo Crabapple</v>
      </c>
      <c r="C321" s="42" t="str">
        <f ca="1">'Landscape Trees '!D134</f>
        <v>#5</v>
      </c>
      <c r="D321" s="42" t="str">
        <f ca="1">'Landscape Trees '!E134</f>
        <v>0.5-1"</v>
      </c>
      <c r="E321" s="42" t="str">
        <f ca="1">'Landscape Trees '!F134</f>
        <v>4-9'</v>
      </c>
      <c r="F321" s="52">
        <f ca="1">'Landscape Trees '!G134</f>
        <v>21</v>
      </c>
      <c r="G321" s="53">
        <f ca="1">'Landscape Trees '!H134</f>
        <v>50</v>
      </c>
      <c r="H321" s="51" t="str">
        <f t="shared" ca="1" si="3"/>
        <v>Dolgo Crabapple #5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'!A135</f>
        <v>Metasequoia glyptostroboides</v>
      </c>
      <c r="B322" s="51" t="str">
        <f ca="1">'Landscape Trees '!C135</f>
        <v>Dawn Redwood</v>
      </c>
      <c r="C322" s="42" t="str">
        <f ca="1">'Landscape Trees '!D135</f>
        <v>#5</v>
      </c>
      <c r="D322" s="42" t="str">
        <f ca="1">'Landscape Trees '!E135</f>
        <v>0.25-1.25"</v>
      </c>
      <c r="E322" s="42" t="str">
        <f ca="1">'Landscape Trees '!F135</f>
        <v>3-9'</v>
      </c>
      <c r="F322" s="52">
        <f ca="1">'Landscape Trees '!G135</f>
        <v>222</v>
      </c>
      <c r="G322" s="53">
        <f ca="1">'Landscape Trees '!H135</f>
        <v>50</v>
      </c>
      <c r="H322" s="51" t="str">
        <f t="shared" ca="1" si="3"/>
        <v>Dawn Redwood #5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'!A136</f>
        <v>Metasequoia glyptostroboides</v>
      </c>
      <c r="B323" s="51" t="str">
        <f ca="1">'Landscape Trees '!C136</f>
        <v>Dawn Redwood</v>
      </c>
      <c r="C323" s="42" t="str">
        <f ca="1">'Landscape Trees '!D136</f>
        <v>#25</v>
      </c>
      <c r="D323" s="42" t="str">
        <f ca="1">'Landscape Trees '!E136</f>
        <v>1.75-2.25"</v>
      </c>
      <c r="E323" s="42" t="str">
        <f ca="1">'Landscape Trees '!F136</f>
        <v>9-12'</v>
      </c>
      <c r="F323" s="52">
        <f ca="1">'Landscape Trees '!G136</f>
        <v>6</v>
      </c>
      <c r="G323" s="53">
        <f ca="1">'Landscape Trees '!H136</f>
        <v>150</v>
      </c>
      <c r="H323" s="51" t="str">
        <f t="shared" ca="1" si="3"/>
        <v>Dawn Redwood #25</v>
      </c>
      <c r="I323" s="54"/>
      <c r="J323" s="55">
        <f t="shared" ca="1" si="2"/>
        <v>0</v>
      </c>
      <c r="K323" s="55"/>
    </row>
    <row r="324" spans="1:11" ht="12.75" x14ac:dyDescent="0.2">
      <c r="A324" s="51" t="str">
        <f ca="1">'Landscape Trees '!A137</f>
        <v>Myrica pennsylvanica</v>
      </c>
      <c r="B324" s="51" t="str">
        <f ca="1">'Landscape Trees '!C137</f>
        <v>Bayberry</v>
      </c>
      <c r="C324" s="42" t="str">
        <f ca="1">'Landscape Trees '!D137</f>
        <v>#5</v>
      </c>
      <c r="D324" s="42" t="str">
        <f ca="1">'Landscape Trees '!E137</f>
        <v>Multi</v>
      </c>
      <c r="E324" s="42" t="str">
        <f ca="1">'Landscape Trees '!F137</f>
        <v>2-5'</v>
      </c>
      <c r="F324" s="52">
        <f ca="1">'Landscape Trees '!G137</f>
        <v>24</v>
      </c>
      <c r="G324" s="53">
        <f ca="1">'Landscape Trees '!H137</f>
        <v>37</v>
      </c>
      <c r="H324" s="51" t="str">
        <f t="shared" ca="1" si="3"/>
        <v>Bayberry #5</v>
      </c>
      <c r="I324" s="54"/>
      <c r="J324" s="55">
        <f t="shared" ca="1" si="2"/>
        <v>0</v>
      </c>
      <c r="K324" s="55"/>
    </row>
    <row r="325" spans="1:11" ht="12.75" x14ac:dyDescent="0.2">
      <c r="A325" s="51" t="str">
        <f ca="1">'Landscape Trees '!A138</f>
        <v>Nyssa sylvatica</v>
      </c>
      <c r="B325" s="51" t="str">
        <f ca="1">'Landscape Trees '!C138</f>
        <v>Black Gum</v>
      </c>
      <c r="C325" s="42" t="str">
        <f ca="1">'Landscape Trees '!D138</f>
        <v>#5</v>
      </c>
      <c r="D325" s="42" t="str">
        <f ca="1">'Landscape Trees '!E138</f>
        <v>0.25-1.25"</v>
      </c>
      <c r="E325" s="42" t="str">
        <f ca="1">'Landscape Trees '!F138</f>
        <v>4-7'</v>
      </c>
      <c r="F325" s="52">
        <f ca="1">'Landscape Trees '!G138</f>
        <v>196</v>
      </c>
      <c r="G325" s="53">
        <f ca="1">'Landscape Trees '!H138</f>
        <v>50</v>
      </c>
      <c r="H325" s="51" t="str">
        <f t="shared" ca="1" si="3"/>
        <v>Black Gum #5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'!A139</f>
        <v>Ostrya virginiana</v>
      </c>
      <c r="B326" s="51" t="str">
        <f ca="1">'Landscape Trees '!C139</f>
        <v>American Hophornbeam</v>
      </c>
      <c r="C326" s="42" t="str">
        <f ca="1">'Landscape Trees '!D139</f>
        <v>#5</v>
      </c>
      <c r="D326" s="42" t="str">
        <f ca="1">'Landscape Trees '!E139</f>
        <v>0.25-1"</v>
      </c>
      <c r="E326" s="42" t="str">
        <f ca="1">'Landscape Trees '!F139</f>
        <v>3-11'</v>
      </c>
      <c r="F326" s="52">
        <f ca="1">'Landscape Trees '!G139</f>
        <v>313</v>
      </c>
      <c r="G326" s="53">
        <f ca="1">'Landscape Trees '!H139</f>
        <v>50</v>
      </c>
      <c r="H326" s="51" t="str">
        <f t="shared" ca="1" si="3"/>
        <v>American Hophornbeam #5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'!A140</f>
        <v>Ostrya virginiana</v>
      </c>
      <c r="B327" s="51" t="str">
        <f ca="1">'Landscape Trees '!C140</f>
        <v>American Hophornbeam</v>
      </c>
      <c r="C327" s="42" t="str">
        <f ca="1">'Landscape Trees '!D140</f>
        <v>#15</v>
      </c>
      <c r="D327" s="42" t="str">
        <f ca="1">'Landscape Trees '!E140</f>
        <v>1-1.5"</v>
      </c>
      <c r="E327" s="42" t="str">
        <f ca="1">'Landscape Trees '!F140</f>
        <v>9.5-11'</v>
      </c>
      <c r="F327" s="52">
        <f ca="1">'Landscape Trees '!G140</f>
        <v>4</v>
      </c>
      <c r="G327" s="53">
        <f ca="1">'Landscape Trees '!H140</f>
        <v>135</v>
      </c>
      <c r="H327" s="51" t="str">
        <f t="shared" ca="1" si="3"/>
        <v>American Hophornbeam #15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'!A141</f>
        <v>Oxydendrum arboreum</v>
      </c>
      <c r="B328" s="51" t="str">
        <f ca="1">'Landscape Trees '!C141</f>
        <v>Sourwood</v>
      </c>
      <c r="C328" s="42" t="str">
        <f ca="1">'Landscape Trees '!D141</f>
        <v>#5</v>
      </c>
      <c r="D328" s="42" t="str">
        <f ca="1">'Landscape Trees '!E141</f>
        <v>0.25-0.25"</v>
      </c>
      <c r="E328" s="42" t="str">
        <f ca="1">'Landscape Trees '!F141</f>
        <v>2-7'</v>
      </c>
      <c r="F328" s="52">
        <f ca="1">'Landscape Trees '!G141</f>
        <v>41</v>
      </c>
      <c r="G328" s="53">
        <f ca="1">'Landscape Trees '!H141</f>
        <v>50</v>
      </c>
      <c r="H328" s="51" t="str">
        <f t="shared" ca="1" si="3"/>
        <v>Sourwood #5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'!A142</f>
        <v>Oxydendrum arboreum</v>
      </c>
      <c r="B329" s="51" t="str">
        <f ca="1">'Landscape Trees '!C142</f>
        <v>Sourwood</v>
      </c>
      <c r="C329" s="42" t="str">
        <f ca="1">'Landscape Trees '!D142</f>
        <v>#5</v>
      </c>
      <c r="D329" s="42" t="str">
        <f ca="1">'Landscape Trees '!E142</f>
        <v>Multi</v>
      </c>
      <c r="E329" s="42" t="str">
        <f ca="1">'Landscape Trees '!F142</f>
        <v>2-7'</v>
      </c>
      <c r="F329" s="52">
        <f ca="1">'Landscape Trees '!G142</f>
        <v>21</v>
      </c>
      <c r="G329" s="53">
        <f ca="1">'Landscape Trees '!H142</f>
        <v>50</v>
      </c>
      <c r="H329" s="51" t="str">
        <f t="shared" ca="1" si="3"/>
        <v>Sourwood #5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'!A143</f>
        <v>Parrotia persica</v>
      </c>
      <c r="B330" s="51" t="str">
        <f ca="1">'Landscape Trees '!C143</f>
        <v>Persian Parrotia</v>
      </c>
      <c r="C330" s="42" t="str">
        <f ca="1">'Landscape Trees '!D143</f>
        <v>#5</v>
      </c>
      <c r="D330" s="42" t="str">
        <f ca="1">'Landscape Trees '!E143</f>
        <v>0.75-1.25"</v>
      </c>
      <c r="E330" s="42" t="str">
        <f ca="1">'Landscape Trees '!F143</f>
        <v>3-6'</v>
      </c>
      <c r="F330" s="52">
        <f ca="1">'Landscape Trees '!G143</f>
        <v>25</v>
      </c>
      <c r="G330" s="53">
        <f ca="1">'Landscape Trees '!H143</f>
        <v>50</v>
      </c>
      <c r="H330" s="51" t="str">
        <f t="shared" ca="1" si="3"/>
        <v>Persian Parrotia #5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'!A144</f>
        <v>Picea abies</v>
      </c>
      <c r="B331" s="51" t="str">
        <f ca="1">'Landscape Trees '!C144</f>
        <v>Norway Spruce</v>
      </c>
      <c r="C331" s="42" t="str">
        <f ca="1">'Landscape Trees '!D144</f>
        <v>#5</v>
      </c>
      <c r="D331" s="42" t="str">
        <f ca="1">'Landscape Trees '!E144</f>
        <v>1-1.25"</v>
      </c>
      <c r="E331" s="42" t="str">
        <f ca="1">'Landscape Trees '!F144</f>
        <v>2.5-4'</v>
      </c>
      <c r="F331" s="52">
        <f ca="1">'Landscape Trees '!G144</f>
        <v>31</v>
      </c>
      <c r="G331" s="53">
        <f ca="1">'Landscape Trees '!H144</f>
        <v>50</v>
      </c>
      <c r="H331" s="51" t="str">
        <f t="shared" ca="1" si="3"/>
        <v>Norway Spruce #5</v>
      </c>
      <c r="I331" s="54"/>
      <c r="J331" s="55">
        <f t="shared" ca="1" si="2"/>
        <v>0</v>
      </c>
      <c r="K331" s="55"/>
    </row>
    <row r="332" spans="1:11" ht="12.75" x14ac:dyDescent="0.2">
      <c r="A332" s="51" t="str">
        <f ca="1">'Landscape Trees '!A145</f>
        <v>Pinus strobus</v>
      </c>
      <c r="B332" s="51" t="str">
        <f ca="1">'Landscape Trees '!C145</f>
        <v>Eastern White Pine</v>
      </c>
      <c r="C332" s="42" t="str">
        <f ca="1">'Landscape Trees '!D145</f>
        <v>#5</v>
      </c>
      <c r="D332" s="42" t="str">
        <f ca="1">'Landscape Trees '!E145</f>
        <v>0.5-0.75"</v>
      </c>
      <c r="E332" s="42" t="str">
        <f ca="1">'Landscape Trees '!F145</f>
        <v>2.5-3'</v>
      </c>
      <c r="F332" s="52">
        <f ca="1">'Landscape Trees '!G145</f>
        <v>41</v>
      </c>
      <c r="G332" s="53">
        <f ca="1">'Landscape Trees '!H145</f>
        <v>50</v>
      </c>
      <c r="H332" s="51" t="str">
        <f t="shared" ca="1" si="3"/>
        <v>Eastern White Pine #5</v>
      </c>
      <c r="I332" s="54"/>
      <c r="J332" s="55">
        <f t="shared" ca="1" si="2"/>
        <v>0</v>
      </c>
      <c r="K332" s="55"/>
    </row>
    <row r="333" spans="1:11" ht="12.75" x14ac:dyDescent="0.2">
      <c r="A333" s="51" t="str">
        <f ca="1">'Landscape Trees '!A146</f>
        <v>Platanus occidentalis</v>
      </c>
      <c r="B333" s="51" t="str">
        <f ca="1">'Landscape Trees '!C146</f>
        <v>American Sycamore</v>
      </c>
      <c r="C333" s="42" t="str">
        <f ca="1">'Landscape Trees '!D146</f>
        <v>#5</v>
      </c>
      <c r="D333" s="42" t="str">
        <f ca="1">'Landscape Trees '!E146</f>
        <v>0.25-1.25"</v>
      </c>
      <c r="E333" s="42" t="str">
        <f ca="1">'Landscape Trees '!F146</f>
        <v>1-11'</v>
      </c>
      <c r="F333" s="52">
        <f ca="1">'Landscape Trees '!G146</f>
        <v>51</v>
      </c>
      <c r="G333" s="53">
        <f ca="1">'Landscape Trees '!H146</f>
        <v>50</v>
      </c>
      <c r="H333" s="51" t="str">
        <f t="shared" ca="1" si="3"/>
        <v>American Sycamore #5</v>
      </c>
      <c r="I333" s="54"/>
      <c r="J333" s="55">
        <f t="shared" ca="1" si="2"/>
        <v>0</v>
      </c>
      <c r="K333" s="55"/>
    </row>
    <row r="334" spans="1:11" ht="12.75" x14ac:dyDescent="0.2">
      <c r="A334" s="51" t="str">
        <f ca="1">'Landscape Trees '!A147</f>
        <v>Platanus occidentalis</v>
      </c>
      <c r="B334" s="51" t="str">
        <f ca="1">'Landscape Trees '!C147</f>
        <v>American Sycamore</v>
      </c>
      <c r="C334" s="42" t="str">
        <f ca="1">'Landscape Trees '!D147</f>
        <v>#15</v>
      </c>
      <c r="D334" s="42" t="str">
        <f ca="1">'Landscape Trees '!E147</f>
        <v>1.25-1.5"</v>
      </c>
      <c r="E334" s="42" t="str">
        <f ca="1">'Landscape Trees '!F147</f>
        <v>12-14'</v>
      </c>
      <c r="F334" s="52">
        <f ca="1">'Landscape Trees '!G147</f>
        <v>1</v>
      </c>
      <c r="G334" s="53">
        <f ca="1">'Landscape Trees '!H147</f>
        <v>135</v>
      </c>
      <c r="H334" s="51" t="str">
        <f t="shared" ca="1" si="3"/>
        <v>American Sycamore #15</v>
      </c>
      <c r="I334" s="54"/>
      <c r="J334" s="55">
        <f t="shared" ca="1" si="2"/>
        <v>0</v>
      </c>
      <c r="K334" s="55"/>
    </row>
    <row r="335" spans="1:11" ht="12.75" x14ac:dyDescent="0.2">
      <c r="A335" s="51" t="str">
        <f ca="1">'Landscape Trees '!A148</f>
        <v>Platanus x acerifolia 'Exclamation'</v>
      </c>
      <c r="B335" s="51" t="str">
        <f ca="1">'Landscape Trees '!C148</f>
        <v>Exclamation London Plane Tree</v>
      </c>
      <c r="C335" s="42" t="str">
        <f ca="1">'Landscape Trees '!D148</f>
        <v>#5</v>
      </c>
      <c r="D335" s="42" t="str">
        <f ca="1">'Landscape Trees '!E148</f>
        <v>0.75-1"</v>
      </c>
      <c r="E335" s="42" t="str">
        <f ca="1">'Landscape Trees '!F148</f>
        <v>5-6'</v>
      </c>
      <c r="F335" s="52">
        <f ca="1">'Landscape Trees '!G148</f>
        <v>6</v>
      </c>
      <c r="G335" s="53">
        <f ca="1">'Landscape Trees '!H148</f>
        <v>50</v>
      </c>
      <c r="H335" s="51" t="str">
        <f t="shared" ca="1" si="3"/>
        <v>Exclamation London Plane Tree #5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'!A149</f>
        <v>Platanus x acerifolia 'Exclamation'</v>
      </c>
      <c r="B336" s="51" t="str">
        <f ca="1">'Landscape Trees '!C149</f>
        <v>Exclamation London Plane Tree</v>
      </c>
      <c r="C336" s="42" t="str">
        <f ca="1">'Landscape Trees '!D149</f>
        <v>#10</v>
      </c>
      <c r="D336" s="42" t="str">
        <f ca="1">'Landscape Trees '!E149</f>
        <v>0.75-2"</v>
      </c>
      <c r="E336" s="42" t="str">
        <f ca="1">'Landscape Trees '!F149</f>
        <v>6-14'</v>
      </c>
      <c r="F336" s="52">
        <f ca="1">'Landscape Trees '!G149</f>
        <v>44</v>
      </c>
      <c r="G336" s="53">
        <f ca="1">'Landscape Trees '!H149</f>
        <v>100</v>
      </c>
      <c r="H336" s="51" t="str">
        <f t="shared" ca="1" si="3"/>
        <v>Exclamation London Plane Tree #10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'!A150</f>
        <v>Platanus x acerifolia 'Exclamation'</v>
      </c>
      <c r="B337" s="51" t="str">
        <f ca="1">'Landscape Trees '!C150</f>
        <v>Exclamation London Plane Tree</v>
      </c>
      <c r="C337" s="42" t="str">
        <f ca="1">'Landscape Trees '!D150</f>
        <v>#15</v>
      </c>
      <c r="D337" s="42" t="str">
        <f ca="1">'Landscape Trees '!E150</f>
        <v>1.25-2"</v>
      </c>
      <c r="E337" s="42" t="str">
        <f ca="1">'Landscape Trees '!F150</f>
        <v>7-12'</v>
      </c>
      <c r="F337" s="52">
        <f ca="1">'Landscape Trees '!G150</f>
        <v>16</v>
      </c>
      <c r="G337" s="53">
        <f ca="1">'Landscape Trees '!H150</f>
        <v>135</v>
      </c>
      <c r="H337" s="51" t="str">
        <f t="shared" ca="1" si="3"/>
        <v>Exclamation London Plane Tree #15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'!A151</f>
        <v>Populus tremuloides</v>
      </c>
      <c r="B338" s="51" t="str">
        <f ca="1">'Landscape Trees '!C151</f>
        <v>Quaking Aspen</v>
      </c>
      <c r="C338" s="42" t="str">
        <f ca="1">'Landscape Trees '!D151</f>
        <v>#5</v>
      </c>
      <c r="D338" s="42" t="str">
        <f ca="1">'Landscape Trees '!E151</f>
        <v>0.5-1"</v>
      </c>
      <c r="E338" s="42" t="str">
        <f ca="1">'Landscape Trees '!F151</f>
        <v>5-9'</v>
      </c>
      <c r="F338" s="52">
        <f ca="1">'Landscape Trees '!G151</f>
        <v>56</v>
      </c>
      <c r="G338" s="53">
        <f ca="1">'Landscape Trees '!H151</f>
        <v>50</v>
      </c>
      <c r="H338" s="51" t="str">
        <f t="shared" ca="1" si="3"/>
        <v>Quaking Aspen #5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'!A152</f>
        <v>Prunus 'Autumnalis'</v>
      </c>
      <c r="B339" s="51" t="str">
        <f ca="1">'Landscape Trees '!C152</f>
        <v>Autumnalis Cherry</v>
      </c>
      <c r="C339" s="42" t="str">
        <f ca="1">'Landscape Trees '!D152</f>
        <v>#10</v>
      </c>
      <c r="D339" s="42" t="str">
        <f ca="1">'Landscape Trees '!E152</f>
        <v>0.75-1.75"</v>
      </c>
      <c r="E339" s="42" t="str">
        <f ca="1">'Landscape Trees '!F152</f>
        <v>6-11'</v>
      </c>
      <c r="F339" s="52">
        <f ca="1">'Landscape Trees '!G152</f>
        <v>31</v>
      </c>
      <c r="G339" s="53">
        <f ca="1">'Landscape Trees '!H152</f>
        <v>100</v>
      </c>
      <c r="H339" s="51" t="str">
        <f t="shared" ca="1" si="3"/>
        <v>Autumnalis Cherry #10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'!A153</f>
        <v>Prunus 'Autumnalis'</v>
      </c>
      <c r="B340" s="51" t="str">
        <f ca="1">'Landscape Trees '!C153</f>
        <v>Autumnalis Cherry</v>
      </c>
      <c r="C340" s="42" t="str">
        <f ca="1">'Landscape Trees '!D153</f>
        <v>#15</v>
      </c>
      <c r="D340" s="42" t="str">
        <f ca="1">'Landscape Trees '!E153</f>
        <v>1-1.25"</v>
      </c>
      <c r="E340" s="42" t="str">
        <f ca="1">'Landscape Trees '!F153</f>
        <v>8-11'</v>
      </c>
      <c r="F340" s="52">
        <f ca="1">'Landscape Trees '!G153</f>
        <v>3</v>
      </c>
      <c r="G340" s="53">
        <f ca="1">'Landscape Trees '!H153</f>
        <v>135</v>
      </c>
      <c r="H340" s="51" t="str">
        <f t="shared" ca="1" si="3"/>
        <v>Autumnalis Cherry #15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'!A154</f>
        <v>Prunus 'Mt. Fuji'</v>
      </c>
      <c r="B341" s="51" t="str">
        <f ca="1">'Landscape Trees '!C154</f>
        <v>Mt Fuji Cherry</v>
      </c>
      <c r="C341" s="42" t="str">
        <f ca="1">'Landscape Trees '!D154</f>
        <v>#15</v>
      </c>
      <c r="D341" s="42" t="str">
        <f ca="1">'Landscape Trees '!E154</f>
        <v>1.25-1.25"</v>
      </c>
      <c r="E341" s="42" t="str">
        <f ca="1">'Landscape Trees '!F154</f>
        <v>9-10'</v>
      </c>
      <c r="F341" s="52">
        <f ca="1">'Landscape Trees '!G154</f>
        <v>5</v>
      </c>
      <c r="G341" s="53">
        <f ca="1">'Landscape Trees '!H154</f>
        <v>135</v>
      </c>
      <c r="H341" s="51" t="str">
        <f t="shared" ca="1" si="3"/>
        <v>Mt Fuji Cherry #15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'!A155</f>
        <v>Prunus 'Okame'</v>
      </c>
      <c r="B342" s="51" t="str">
        <f ca="1">'Landscape Trees '!C155</f>
        <v>Okame Cherry</v>
      </c>
      <c r="C342" s="42" t="str">
        <f ca="1">'Landscape Trees '!D155</f>
        <v>#10</v>
      </c>
      <c r="D342" s="42" t="str">
        <f ca="1">'Landscape Trees '!E155</f>
        <v>0.75-1.75"</v>
      </c>
      <c r="E342" s="42" t="str">
        <f ca="1">'Landscape Trees '!F155</f>
        <v>6-14'</v>
      </c>
      <c r="F342" s="52">
        <f ca="1">'Landscape Trees '!G155</f>
        <v>43</v>
      </c>
      <c r="G342" s="53">
        <f ca="1">'Landscape Trees '!H155</f>
        <v>100</v>
      </c>
      <c r="H342" s="51" t="str">
        <f t="shared" ca="1" si="3"/>
        <v>Okame Cherry #10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'!A156</f>
        <v>Prunus 'Okame'</v>
      </c>
      <c r="B343" s="51" t="str">
        <f ca="1">'Landscape Trees '!C156</f>
        <v>Okame Cherry</v>
      </c>
      <c r="C343" s="42" t="str">
        <f ca="1">'Landscape Trees '!D156</f>
        <v>#15</v>
      </c>
      <c r="D343" s="42" t="str">
        <f ca="1">'Landscape Trees '!E156</f>
        <v>0.75-1.25"</v>
      </c>
      <c r="E343" s="42" t="str">
        <f ca="1">'Landscape Trees '!F156</f>
        <v>8-11'</v>
      </c>
      <c r="F343" s="52">
        <f ca="1">'Landscape Trees '!G156</f>
        <v>33</v>
      </c>
      <c r="G343" s="53">
        <f ca="1">'Landscape Trees '!H156</f>
        <v>135</v>
      </c>
      <c r="H343" s="51" t="str">
        <f t="shared" ca="1" si="3"/>
        <v>Okame Cherry #15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'!A157</f>
        <v>Prunus × yedoensis</v>
      </c>
      <c r="B344" s="51" t="str">
        <f ca="1">'Landscape Trees '!C157</f>
        <v>Yoshino Cherry</v>
      </c>
      <c r="C344" s="42" t="str">
        <f ca="1">'Landscape Trees '!D157</f>
        <v>#5</v>
      </c>
      <c r="D344" s="42" t="str">
        <f ca="1">'Landscape Trees '!E157</f>
        <v>0.5-0.75"</v>
      </c>
      <c r="E344" s="42" t="str">
        <f ca="1">'Landscape Trees '!F157</f>
        <v>4-7'</v>
      </c>
      <c r="F344" s="52">
        <f ca="1">'Landscape Trees '!G157</f>
        <v>38</v>
      </c>
      <c r="G344" s="53">
        <f ca="1">'Landscape Trees '!H157</f>
        <v>50</v>
      </c>
      <c r="H344" s="51" t="str">
        <f t="shared" ca="1" si="3"/>
        <v>Yoshino Cherry #5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'!A158</f>
        <v>Prunus × yedoensis</v>
      </c>
      <c r="B345" s="51" t="str">
        <f ca="1">'Landscape Trees '!C158</f>
        <v>Yoshino Cherry</v>
      </c>
      <c r="C345" s="42" t="str">
        <f ca="1">'Landscape Trees '!D158</f>
        <v>#15</v>
      </c>
      <c r="D345" s="42" t="str">
        <f ca="1">'Landscape Trees '!E158</f>
        <v>1-1.5"</v>
      </c>
      <c r="E345" s="42" t="str">
        <f ca="1">'Landscape Trees '!F158</f>
        <v>9-10.5'</v>
      </c>
      <c r="F345" s="52">
        <f ca="1">'Landscape Trees '!G158</f>
        <v>27</v>
      </c>
      <c r="G345" s="53">
        <f ca="1">'Landscape Trees '!H158</f>
        <v>135</v>
      </c>
      <c r="H345" s="51" t="str">
        <f t="shared" ca="1" si="3"/>
        <v>Yoshino Cherry #15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'!A159</f>
        <v>Prunus americana</v>
      </c>
      <c r="B346" s="51" t="str">
        <f ca="1">'Landscape Trees '!C159</f>
        <v>American Plum</v>
      </c>
      <c r="C346" s="42" t="str">
        <f ca="1">'Landscape Trees '!D159</f>
        <v>#5</v>
      </c>
      <c r="D346" s="42" t="str">
        <f ca="1">'Landscape Trees '!E159</f>
        <v>0.25-1"</v>
      </c>
      <c r="E346" s="42" t="str">
        <f ca="1">'Landscape Trees '!F159</f>
        <v>2-10'</v>
      </c>
      <c r="F346" s="52">
        <f ca="1">'Landscape Trees '!G159</f>
        <v>39</v>
      </c>
      <c r="G346" s="53">
        <f ca="1">'Landscape Trees '!H159</f>
        <v>50</v>
      </c>
      <c r="H346" s="51" t="str">
        <f t="shared" ca="1" si="3"/>
        <v>American Plum #5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'!A160</f>
        <v>Prunus cerasifera 'Thundercloud'</v>
      </c>
      <c r="B347" s="51" t="str">
        <f ca="1">'Landscape Trees '!C160</f>
        <v>Thundercloud Plum</v>
      </c>
      <c r="C347" s="42" t="str">
        <f ca="1">'Landscape Trees '!D160</f>
        <v>#15</v>
      </c>
      <c r="D347" s="42" t="str">
        <f ca="1">'Landscape Trees '!E160</f>
        <v>1-2"</v>
      </c>
      <c r="E347" s="42" t="str">
        <f ca="1">'Landscape Trees '!F160</f>
        <v>10-12'</v>
      </c>
      <c r="F347" s="52">
        <f ca="1">'Landscape Trees '!G160</f>
        <v>11</v>
      </c>
      <c r="G347" s="53">
        <f ca="1">'Landscape Trees '!H160</f>
        <v>135</v>
      </c>
      <c r="H347" s="51" t="str">
        <f t="shared" ca="1" si="3"/>
        <v>Thundercloud Plum #15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'!A161</f>
        <v>Prunus serotina</v>
      </c>
      <c r="B348" s="51" t="str">
        <f ca="1">'Landscape Trees '!C161</f>
        <v>Black Cherry</v>
      </c>
      <c r="C348" s="42" t="str">
        <f ca="1">'Landscape Trees '!D161</f>
        <v>#5</v>
      </c>
      <c r="D348" s="42" t="str">
        <f ca="1">'Landscape Trees '!E161</f>
        <v>0.25-1.25"</v>
      </c>
      <c r="E348" s="42" t="str">
        <f ca="1">'Landscape Trees '!F161</f>
        <v>4-7'</v>
      </c>
      <c r="F348" s="52">
        <f ca="1">'Landscape Trees '!G161</f>
        <v>32</v>
      </c>
      <c r="G348" s="53">
        <f ca="1">'Landscape Trees '!H161</f>
        <v>50</v>
      </c>
      <c r="H348" s="51" t="str">
        <f t="shared" ca="1" si="3"/>
        <v>Black Cherry #5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'!A162</f>
        <v>Prunus serrulata 'Kwanzan'</v>
      </c>
      <c r="B349" s="51" t="str">
        <f ca="1">'Landscape Trees '!C162</f>
        <v>Kwanzan Cherry</v>
      </c>
      <c r="C349" s="42" t="str">
        <f ca="1">'Landscape Trees '!D162</f>
        <v>#5</v>
      </c>
      <c r="D349" s="42" t="str">
        <f ca="1">'Landscape Trees '!E162</f>
        <v>0.25-1.5"</v>
      </c>
      <c r="E349" s="42" t="str">
        <f ca="1">'Landscape Trees '!F162</f>
        <v>4-8'</v>
      </c>
      <c r="F349" s="52">
        <f ca="1">'Landscape Trees '!G162</f>
        <v>27</v>
      </c>
      <c r="G349" s="53">
        <f ca="1">'Landscape Trees '!H162</f>
        <v>50</v>
      </c>
      <c r="H349" s="51" t="str">
        <f t="shared" ca="1" si="3"/>
        <v>Kwanzan Cherry #5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'!A163</f>
        <v>Prunus serrulata 'Kwanzan'</v>
      </c>
      <c r="B350" s="51" t="str">
        <f ca="1">'Landscape Trees '!C163</f>
        <v>Kwanzan Cherry</v>
      </c>
      <c r="C350" s="42" t="str">
        <f ca="1">'Landscape Trees '!D163</f>
        <v>#10</v>
      </c>
      <c r="D350" s="42" t="str">
        <f ca="1">'Landscape Trees '!E163</f>
        <v>0.75-2"</v>
      </c>
      <c r="E350" s="42" t="str">
        <f ca="1">'Landscape Trees '!F163</f>
        <v>6-10'</v>
      </c>
      <c r="F350" s="52">
        <f ca="1">'Landscape Trees '!G163</f>
        <v>28</v>
      </c>
      <c r="G350" s="53">
        <f ca="1">'Landscape Trees '!H163</f>
        <v>100</v>
      </c>
      <c r="H350" s="51" t="str">
        <f t="shared" ca="1" si="3"/>
        <v>Kwanzan Cherry #10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'!A164</f>
        <v>Prunus subhirtella 'Snow Fountains'</v>
      </c>
      <c r="B351" s="51" t="str">
        <f ca="1">'Landscape Trees '!C164</f>
        <v>Snow Fountains Weeping Cherry</v>
      </c>
      <c r="C351" s="42" t="str">
        <f ca="1">'Landscape Trees '!D164</f>
        <v>#15</v>
      </c>
      <c r="D351" s="42" t="str">
        <f ca="1">'Landscape Trees '!E164</f>
        <v>1.25-2.25"</v>
      </c>
      <c r="E351" s="42" t="str">
        <f ca="1">'Landscape Trees '!F164</f>
        <v>6-7'</v>
      </c>
      <c r="F351" s="52">
        <f ca="1">'Landscape Trees '!G164</f>
        <v>17</v>
      </c>
      <c r="G351" s="53">
        <f ca="1">'Landscape Trees '!H164</f>
        <v>135</v>
      </c>
      <c r="H351" s="51" t="str">
        <f t="shared" ca="1" si="3"/>
        <v>Snow Fountains Weeping Cherry #15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'!A165</f>
        <v>Prunus subhirtella "Pendula plena rosea"</v>
      </c>
      <c r="B352" s="51" t="str">
        <f ca="1">'Landscape Trees '!C165</f>
        <v>Double Pink Weeping Cherry</v>
      </c>
      <c r="C352" s="42" t="str">
        <f ca="1">'Landscape Trees '!D165</f>
        <v>#15</v>
      </c>
      <c r="D352" s="42" t="str">
        <f ca="1">'Landscape Trees '!E165</f>
        <v>1-1.5"</v>
      </c>
      <c r="E352" s="42" t="str">
        <f ca="1">'Landscape Trees '!F165</f>
        <v>6.5-7'</v>
      </c>
      <c r="F352" s="52">
        <f ca="1">'Landscape Trees '!G165</f>
        <v>12</v>
      </c>
      <c r="G352" s="53">
        <f ca="1">'Landscape Trees '!H165</f>
        <v>135</v>
      </c>
      <c r="H352" s="51" t="str">
        <f t="shared" ca="1" si="3"/>
        <v>Double Pink Weeping Cherry #15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'!A166</f>
        <v>Prunus virginiana</v>
      </c>
      <c r="B353" s="51" t="str">
        <f ca="1">'Landscape Trees '!C166</f>
        <v>Chokecherry</v>
      </c>
      <c r="C353" s="42" t="str">
        <f ca="1">'Landscape Trees '!D166</f>
        <v>#5</v>
      </c>
      <c r="D353" s="42" t="str">
        <f ca="1">'Landscape Trees '!E166</f>
        <v>Multi</v>
      </c>
      <c r="E353" s="42" t="str">
        <f ca="1">'Landscape Trees '!F166</f>
        <v>1.5-3'</v>
      </c>
      <c r="F353" s="52">
        <f ca="1">'Landscape Trees '!G166</f>
        <v>48</v>
      </c>
      <c r="G353" s="53">
        <f ca="1">'Landscape Trees '!H166</f>
        <v>50</v>
      </c>
      <c r="H353" s="51" t="str">
        <f t="shared" ca="1" si="3"/>
        <v>Chokecherry #5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'!A167</f>
        <v>Prunus virginiana 'Shubert Select'</v>
      </c>
      <c r="B354" s="51" t="str">
        <f ca="1">'Landscape Trees '!C167</f>
        <v>Canada Red Select Cherry</v>
      </c>
      <c r="C354" s="42" t="str">
        <f ca="1">'Landscape Trees '!D167</f>
        <v>#15</v>
      </c>
      <c r="D354" s="42" t="str">
        <f ca="1">'Landscape Trees '!E167</f>
        <v>1.25-1.25"</v>
      </c>
      <c r="E354" s="42" t="str">
        <f ca="1">'Landscape Trees '!F167</f>
        <v>10-10.5'</v>
      </c>
      <c r="F354" s="52">
        <f ca="1">'Landscape Trees '!G167</f>
        <v>4</v>
      </c>
      <c r="G354" s="53">
        <f ca="1">'Landscape Trees '!H167</f>
        <v>135</v>
      </c>
      <c r="H354" s="51" t="str">
        <f t="shared" ca="1" si="3"/>
        <v>Canada Red Select Cherry #15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'!A168</f>
        <v>Quercus alba</v>
      </c>
      <c r="B355" s="51" t="str">
        <f ca="1">'Landscape Trees '!C168</f>
        <v>White Oak</v>
      </c>
      <c r="C355" s="42" t="str">
        <f ca="1">'Landscape Trees '!D168</f>
        <v>#5</v>
      </c>
      <c r="D355" s="42" t="str">
        <f ca="1">'Landscape Trees '!E168</f>
        <v>0.5-0.75"</v>
      </c>
      <c r="E355" s="42" t="str">
        <f ca="1">'Landscape Trees '!F168</f>
        <v>3-6'</v>
      </c>
      <c r="F355" s="52">
        <f ca="1">'Landscape Trees '!G168</f>
        <v>68</v>
      </c>
      <c r="G355" s="53">
        <f ca="1">'Landscape Trees '!H168</f>
        <v>50</v>
      </c>
      <c r="H355" s="51" t="str">
        <f t="shared" ca="1" si="3"/>
        <v>White Oak #5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'!A169</f>
        <v>Quercus alba</v>
      </c>
      <c r="B356" s="51" t="str">
        <f ca="1">'Landscape Trees '!C169</f>
        <v>White Oak</v>
      </c>
      <c r="C356" s="42" t="str">
        <f ca="1">'Landscape Trees '!D169</f>
        <v>#7</v>
      </c>
      <c r="D356" s="42" t="str">
        <f ca="1">'Landscape Trees '!E169</f>
        <v>0.5-1"</v>
      </c>
      <c r="E356" s="42" t="str">
        <f ca="1">'Landscape Trees '!F169</f>
        <v>4-10'</v>
      </c>
      <c r="F356" s="52">
        <f ca="1">'Landscape Trees '!G169</f>
        <v>1</v>
      </c>
      <c r="G356" s="53">
        <f ca="1">'Landscape Trees '!H169</f>
        <v>70</v>
      </c>
      <c r="H356" s="51" t="str">
        <f t="shared" ca="1" si="3"/>
        <v>White Oak #7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'!A170</f>
        <v>Quercus alba</v>
      </c>
      <c r="B357" s="51" t="str">
        <f ca="1">'Landscape Trees '!C170</f>
        <v>White Oak</v>
      </c>
      <c r="C357" s="42" t="str">
        <f ca="1">'Landscape Trees '!D170</f>
        <v>#10</v>
      </c>
      <c r="D357" s="42" t="str">
        <f ca="1">'Landscape Trees '!E170</f>
        <v>0.5-1.25"</v>
      </c>
      <c r="E357" s="42" t="str">
        <f ca="1">'Landscape Trees '!F170</f>
        <v>6-9'</v>
      </c>
      <c r="F357" s="52">
        <f ca="1">'Landscape Trees '!G170</f>
        <v>30</v>
      </c>
      <c r="G357" s="53">
        <f ca="1">'Landscape Trees '!H170</f>
        <v>100</v>
      </c>
      <c r="H357" s="51" t="str">
        <f t="shared" ca="1" si="3"/>
        <v>White Oak #10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'!A171</f>
        <v>Quercus alba</v>
      </c>
      <c r="B358" s="51" t="str">
        <f ca="1">'Landscape Trees '!C171</f>
        <v>White Oak</v>
      </c>
      <c r="C358" s="42" t="str">
        <f ca="1">'Landscape Trees '!D171</f>
        <v>#15</v>
      </c>
      <c r="D358" s="42" t="str">
        <f ca="1">'Landscape Trees '!E171</f>
        <v>1.25-1.75"</v>
      </c>
      <c r="E358" s="42" t="str">
        <f ca="1">'Landscape Trees '!F171</f>
        <v>8.5-10'</v>
      </c>
      <c r="F358" s="52">
        <f ca="1">'Landscape Trees '!G171</f>
        <v>3</v>
      </c>
      <c r="G358" s="53">
        <f ca="1">'Landscape Trees '!H171</f>
        <v>135</v>
      </c>
      <c r="H358" s="51" t="str">
        <f t="shared" ca="1" si="3"/>
        <v>White Oak #15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'!A172</f>
        <v>Quercus bicolor</v>
      </c>
      <c r="B359" s="51" t="str">
        <f ca="1">'Landscape Trees '!C172</f>
        <v>Swamp White Oak</v>
      </c>
      <c r="C359" s="42" t="str">
        <f ca="1">'Landscape Trees '!D172</f>
        <v>#5</v>
      </c>
      <c r="D359" s="42" t="str">
        <f ca="1">'Landscape Trees '!E172</f>
        <v>0.5-1"</v>
      </c>
      <c r="E359" s="42" t="str">
        <f ca="1">'Landscape Trees '!F172</f>
        <v>3-9'</v>
      </c>
      <c r="F359" s="52">
        <f ca="1">'Landscape Trees '!G172</f>
        <v>311</v>
      </c>
      <c r="G359" s="53">
        <f ca="1">'Landscape Trees '!H172</f>
        <v>50</v>
      </c>
      <c r="H359" s="51" t="str">
        <f t="shared" ca="1" si="3"/>
        <v>Swamp White Oak #5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'!A173</f>
        <v>Quercus bicolor</v>
      </c>
      <c r="B360" s="51" t="str">
        <f ca="1">'Landscape Trees '!C173</f>
        <v>Swamp White Oak</v>
      </c>
      <c r="C360" s="42" t="str">
        <f ca="1">'Landscape Trees '!D173</f>
        <v>#7</v>
      </c>
      <c r="D360" s="42" t="str">
        <f ca="1">'Landscape Trees '!E173</f>
        <v>0.5-0.75"</v>
      </c>
      <c r="E360" s="42" t="str">
        <f ca="1">'Landscape Trees '!F173</f>
        <v>3-7'</v>
      </c>
      <c r="F360" s="52">
        <f ca="1">'Landscape Trees '!G173</f>
        <v>50</v>
      </c>
      <c r="G360" s="53">
        <f ca="1">'Landscape Trees '!H173</f>
        <v>70</v>
      </c>
      <c r="H360" s="51" t="str">
        <f t="shared" ca="1" si="3"/>
        <v>Swamp White Oak #7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'!A174</f>
        <v>Quercus bicolor</v>
      </c>
      <c r="B361" s="51" t="str">
        <f ca="1">'Landscape Trees '!C174</f>
        <v>Swamp White Oak</v>
      </c>
      <c r="C361" s="42" t="str">
        <f ca="1">'Landscape Trees '!D174</f>
        <v>#10</v>
      </c>
      <c r="D361" s="42" t="str">
        <f ca="1">'Landscape Trees '!E174</f>
        <v>0.75-1.25"</v>
      </c>
      <c r="E361" s="42" t="str">
        <f ca="1">'Landscape Trees '!F174</f>
        <v>4.5-10'</v>
      </c>
      <c r="F361" s="52">
        <f ca="1">'Landscape Trees '!G174</f>
        <v>100</v>
      </c>
      <c r="G361" s="53">
        <f ca="1">'Landscape Trees '!H174</f>
        <v>100</v>
      </c>
      <c r="H361" s="51" t="str">
        <f t="shared" ca="1" si="3"/>
        <v>Swamp White Oak #10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'!A175</f>
        <v>Quercus bicolor</v>
      </c>
      <c r="B362" s="51" t="str">
        <f ca="1">'Landscape Trees '!C175</f>
        <v>Swamp White Oak</v>
      </c>
      <c r="C362" s="42" t="str">
        <f ca="1">'Landscape Trees '!D175</f>
        <v>#15</v>
      </c>
      <c r="D362" s="42" t="str">
        <f ca="1">'Landscape Trees '!E175</f>
        <v>1-1.75"</v>
      </c>
      <c r="E362" s="42" t="str">
        <f ca="1">'Landscape Trees '!F175</f>
        <v>10-12'</v>
      </c>
      <c r="F362" s="52">
        <f ca="1">'Landscape Trees '!G175</f>
        <v>4</v>
      </c>
      <c r="G362" s="53">
        <f ca="1">'Landscape Trees '!H175</f>
        <v>135</v>
      </c>
      <c r="H362" s="51" t="str">
        <f t="shared" ca="1" si="3"/>
        <v>Swamp White Oak #15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'!A176</f>
        <v>Quercus hemisphaerica</v>
      </c>
      <c r="B363" s="51" t="str">
        <f ca="1">'Landscape Trees '!C176</f>
        <v>Laurel Oak</v>
      </c>
      <c r="C363" s="42" t="str">
        <f ca="1">'Landscape Trees '!D176</f>
        <v>#5</v>
      </c>
      <c r="D363" s="42" t="str">
        <f ca="1">'Landscape Trees '!E176</f>
        <v>0.5-1"</v>
      </c>
      <c r="E363" s="42" t="str">
        <f ca="1">'Landscape Trees '!F176</f>
        <v>4-7'</v>
      </c>
      <c r="F363" s="52">
        <f ca="1">'Landscape Trees '!G176</f>
        <v>3</v>
      </c>
      <c r="G363" s="53">
        <f ca="1">'Landscape Trees '!H176</f>
        <v>50</v>
      </c>
      <c r="H363" s="51" t="str">
        <f t="shared" ca="1" si="3"/>
        <v>Laurel Oak #5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'!A177</f>
        <v>Quercus imbricaria</v>
      </c>
      <c r="B364" s="51" t="str">
        <f ca="1">'Landscape Trees '!C177</f>
        <v>Shingle Oak</v>
      </c>
      <c r="C364" s="42" t="str">
        <f ca="1">'Landscape Trees '!D177</f>
        <v>#5</v>
      </c>
      <c r="D364" s="42" t="str">
        <f ca="1">'Landscape Trees '!E177</f>
        <v>0.25-1"</v>
      </c>
      <c r="E364" s="42" t="str">
        <f ca="1">'Landscape Trees '!F177</f>
        <v>2-8'</v>
      </c>
      <c r="F364" s="52">
        <f ca="1">'Landscape Trees '!G177</f>
        <v>28</v>
      </c>
      <c r="G364" s="53">
        <f ca="1">'Landscape Trees '!H177</f>
        <v>50</v>
      </c>
      <c r="H364" s="51" t="str">
        <f t="shared" ca="1" si="3"/>
        <v>Shingle Oak #5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'!A178</f>
        <v>Quercus lyrata</v>
      </c>
      <c r="B365" s="51" t="str">
        <f ca="1">'Landscape Trees '!C178</f>
        <v>Overcup Oak</v>
      </c>
      <c r="C365" s="42" t="str">
        <f ca="1">'Landscape Trees '!D178</f>
        <v>#5</v>
      </c>
      <c r="D365" s="42" t="str">
        <f ca="1">'Landscape Trees '!E178</f>
        <v>0.25-1"</v>
      </c>
      <c r="E365" s="42" t="str">
        <f ca="1">'Landscape Trees '!F178</f>
        <v>3-8'</v>
      </c>
      <c r="F365" s="52">
        <f ca="1">'Landscape Trees '!G178</f>
        <v>10</v>
      </c>
      <c r="G365" s="53">
        <f ca="1">'Landscape Trees '!H178</f>
        <v>50</v>
      </c>
      <c r="H365" s="51" t="str">
        <f t="shared" ca="1" si="3"/>
        <v>Overcup Oak #5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'!A179</f>
        <v>Quercus macrocarpa</v>
      </c>
      <c r="B366" s="51" t="str">
        <f ca="1">'Landscape Trees '!C179</f>
        <v>Bur Oak</v>
      </c>
      <c r="C366" s="42" t="str">
        <f ca="1">'Landscape Trees '!D179</f>
        <v>#5</v>
      </c>
      <c r="D366" s="42" t="str">
        <f ca="1">'Landscape Trees '!E179</f>
        <v>0.75-1"</v>
      </c>
      <c r="E366" s="42" t="str">
        <f ca="1">'Landscape Trees '!F179</f>
        <v>4-7'</v>
      </c>
      <c r="F366" s="52">
        <f ca="1">'Landscape Trees '!G179</f>
        <v>27</v>
      </c>
      <c r="G366" s="53">
        <f ca="1">'Landscape Trees '!H179</f>
        <v>50</v>
      </c>
      <c r="H366" s="51" t="str">
        <f t="shared" ca="1" si="3"/>
        <v>Bur Oak #5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'!A180</f>
        <v>Quercus macrocarpa</v>
      </c>
      <c r="B367" s="51" t="str">
        <f ca="1">'Landscape Trees '!C180</f>
        <v>Bur Oak</v>
      </c>
      <c r="C367" s="42" t="str">
        <f ca="1">'Landscape Trees '!D180</f>
        <v>#10</v>
      </c>
      <c r="D367" s="42" t="str">
        <f ca="1">'Landscape Trees '!E180</f>
        <v>1-1"</v>
      </c>
      <c r="E367" s="42" t="str">
        <f ca="1">'Landscape Trees '!F180</f>
        <v>6-8'</v>
      </c>
      <c r="F367" s="52">
        <f ca="1">'Landscape Trees '!G180</f>
        <v>1</v>
      </c>
      <c r="G367" s="53">
        <f ca="1">'Landscape Trees '!H180</f>
        <v>100</v>
      </c>
      <c r="H367" s="51" t="str">
        <f t="shared" ca="1" si="3"/>
        <v>Bur Oak #10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'!A181</f>
        <v>Quercus macrocarpa</v>
      </c>
      <c r="B368" s="51" t="str">
        <f ca="1">'Landscape Trees '!C181</f>
        <v>Bur Oak</v>
      </c>
      <c r="C368" s="42" t="str">
        <f ca="1">'Landscape Trees '!D181</f>
        <v>#15</v>
      </c>
      <c r="D368" s="42" t="str">
        <f ca="1">'Landscape Trees '!E181</f>
        <v>1-1.25"</v>
      </c>
      <c r="E368" s="42" t="str">
        <f ca="1">'Landscape Trees '!F181</f>
        <v>10-12'</v>
      </c>
      <c r="F368" s="52">
        <f ca="1">'Landscape Trees '!G181</f>
        <v>3</v>
      </c>
      <c r="G368" s="53">
        <f ca="1">'Landscape Trees '!H181</f>
        <v>135</v>
      </c>
      <c r="H368" s="51" t="str">
        <f t="shared" ca="1" si="3"/>
        <v>Bur Oak #15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'!A182</f>
        <v>Quercus palustris</v>
      </c>
      <c r="B369" s="51" t="str">
        <f ca="1">'Landscape Trees '!C182</f>
        <v>Pin Oak</v>
      </c>
      <c r="C369" s="42" t="str">
        <f ca="1">'Landscape Trees '!D182</f>
        <v>#5</v>
      </c>
      <c r="D369" s="42" t="str">
        <f ca="1">'Landscape Trees '!E182</f>
        <v>0.5-1.25"</v>
      </c>
      <c r="E369" s="42" t="str">
        <f ca="1">'Landscape Trees '!F182</f>
        <v>4-12'</v>
      </c>
      <c r="F369" s="52">
        <f ca="1">'Landscape Trees '!G182</f>
        <v>9</v>
      </c>
      <c r="G369" s="53">
        <f ca="1">'Landscape Trees '!H182</f>
        <v>50</v>
      </c>
      <c r="H369" s="51" t="str">
        <f t="shared" ca="1" si="3"/>
        <v>Pin Oak #5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'!A183</f>
        <v>Quercus palustris</v>
      </c>
      <c r="B370" s="51" t="str">
        <f ca="1">'Landscape Trees '!C183</f>
        <v>Pin Oak</v>
      </c>
      <c r="C370" s="42" t="str">
        <f ca="1">'Landscape Trees '!D183</f>
        <v>#7</v>
      </c>
      <c r="D370" s="42" t="str">
        <f ca="1">'Landscape Trees '!E183</f>
        <v>1.25-1.5"</v>
      </c>
      <c r="E370" s="42" t="str">
        <f ca="1">'Landscape Trees '!F183</f>
        <v>9-12'</v>
      </c>
      <c r="F370" s="52">
        <f ca="1">'Landscape Trees '!G183</f>
        <v>1</v>
      </c>
      <c r="G370" s="53">
        <f ca="1">'Landscape Trees '!H183</f>
        <v>70</v>
      </c>
      <c r="H370" s="51" t="str">
        <f t="shared" ca="1" si="3"/>
        <v>Pin Oak #7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'!A184</f>
        <v>Quercus palustris</v>
      </c>
      <c r="B371" s="51" t="str">
        <f ca="1">'Landscape Trees '!C184</f>
        <v>Pin Oak</v>
      </c>
      <c r="C371" s="42" t="str">
        <f ca="1">'Landscape Trees '!D184</f>
        <v>#10</v>
      </c>
      <c r="D371" s="42" t="str">
        <f ca="1">'Landscape Trees '!E184</f>
        <v>1-2"</v>
      </c>
      <c r="E371" s="42" t="str">
        <f ca="1">'Landscape Trees '!F184</f>
        <v>7-10'</v>
      </c>
      <c r="F371" s="52">
        <f ca="1">'Landscape Trees '!G184</f>
        <v>15</v>
      </c>
      <c r="G371" s="53">
        <f ca="1">'Landscape Trees '!H184</f>
        <v>100</v>
      </c>
      <c r="H371" s="51" t="str">
        <f t="shared" ca="1" si="3"/>
        <v>Pin Oak #10</v>
      </c>
      <c r="I371" s="54"/>
      <c r="J371" s="55">
        <f t="shared" ca="1" si="2"/>
        <v>0</v>
      </c>
      <c r="K371" s="55"/>
    </row>
    <row r="372" spans="1:11" ht="12.75" x14ac:dyDescent="0.2">
      <c r="A372" s="51" t="str">
        <f ca="1">'Landscape Trees '!A185</f>
        <v>Quercus palustris</v>
      </c>
      <c r="B372" s="51" t="str">
        <f ca="1">'Landscape Trees '!C185</f>
        <v>Pin Oak</v>
      </c>
      <c r="C372" s="42" t="str">
        <f ca="1">'Landscape Trees '!D185</f>
        <v>#15</v>
      </c>
      <c r="D372" s="42" t="str">
        <f ca="1">'Landscape Trees '!E185</f>
        <v>1.5-1.75"</v>
      </c>
      <c r="E372" s="42" t="str">
        <f ca="1">'Landscape Trees '!F185</f>
        <v>11-15'</v>
      </c>
      <c r="F372" s="52">
        <f ca="1">'Landscape Trees '!G185</f>
        <v>1</v>
      </c>
      <c r="G372" s="53">
        <f ca="1">'Landscape Trees '!H185</f>
        <v>135</v>
      </c>
      <c r="H372" s="51" t="str">
        <f t="shared" ca="1" si="3"/>
        <v>Pin Oak #15</v>
      </c>
      <c r="I372" s="54"/>
      <c r="J372" s="55">
        <f t="shared" ca="1" si="2"/>
        <v>0</v>
      </c>
      <c r="K372" s="55"/>
    </row>
    <row r="373" spans="1:11" ht="12.75" x14ac:dyDescent="0.2">
      <c r="A373" s="51" t="str">
        <f ca="1">'Landscape Trees '!A186</f>
        <v>Quercus phellos</v>
      </c>
      <c r="B373" s="51" t="str">
        <f ca="1">'Landscape Trees '!C186</f>
        <v>Willow Oak</v>
      </c>
      <c r="C373" s="42" t="str">
        <f ca="1">'Landscape Trees '!D186</f>
        <v>#7</v>
      </c>
      <c r="D373" s="42" t="str">
        <f ca="1">'Landscape Trees '!E186</f>
        <v>0.75-1.25"</v>
      </c>
      <c r="E373" s="42" t="str">
        <f ca="1">'Landscape Trees '!F186</f>
        <v>4-8'</v>
      </c>
      <c r="F373" s="52">
        <f ca="1">'Landscape Trees '!G186</f>
        <v>1</v>
      </c>
      <c r="G373" s="53">
        <f ca="1">'Landscape Trees '!H186</f>
        <v>70</v>
      </c>
      <c r="H373" s="51" t="str">
        <f t="shared" ca="1" si="3"/>
        <v>Willow Oak #7</v>
      </c>
      <c r="I373" s="54"/>
      <c r="J373" s="55">
        <f t="shared" ca="1" si="2"/>
        <v>0</v>
      </c>
      <c r="K373" s="55"/>
    </row>
    <row r="374" spans="1:11" ht="12.75" x14ac:dyDescent="0.2">
      <c r="A374" s="51" t="str">
        <f ca="1">'Landscape Trees '!A187</f>
        <v>Quercus phellos</v>
      </c>
      <c r="B374" s="51" t="str">
        <f ca="1">'Landscape Trees '!C187</f>
        <v>Willow Oak</v>
      </c>
      <c r="C374" s="42" t="str">
        <f ca="1">'Landscape Trees '!D187</f>
        <v>#10</v>
      </c>
      <c r="D374" s="42" t="str">
        <f ca="1">'Landscape Trees '!E187</f>
        <v>0.5-0.75"</v>
      </c>
      <c r="E374" s="42" t="str">
        <f ca="1">'Landscape Trees '!F187</f>
        <v>4-5'</v>
      </c>
      <c r="F374" s="52">
        <f ca="1">'Landscape Trees '!G187</f>
        <v>26</v>
      </c>
      <c r="G374" s="53">
        <f ca="1">'Landscape Trees '!H187</f>
        <v>100</v>
      </c>
      <c r="H374" s="51" t="str">
        <f t="shared" ca="1" si="3"/>
        <v>Willow Oak #10</v>
      </c>
      <c r="I374" s="54"/>
      <c r="J374" s="55">
        <f t="shared" ca="1" si="2"/>
        <v>0</v>
      </c>
      <c r="K374" s="55"/>
    </row>
    <row r="375" spans="1:11" ht="12.75" x14ac:dyDescent="0.2">
      <c r="A375" s="51" t="str">
        <f ca="1">'Landscape Trees '!A188</f>
        <v>Quercus rubra</v>
      </c>
      <c r="B375" s="51" t="str">
        <f ca="1">'Landscape Trees '!C188</f>
        <v>Red Oak</v>
      </c>
      <c r="C375" s="42" t="str">
        <f ca="1">'Landscape Trees '!D188</f>
        <v>#7</v>
      </c>
      <c r="D375" s="42" t="str">
        <f ca="1">'Landscape Trees '!E188</f>
        <v>0.75-1.5"</v>
      </c>
      <c r="E375" s="42" t="str">
        <f ca="1">'Landscape Trees '!F188</f>
        <v>3.5-11'</v>
      </c>
      <c r="F375" s="52">
        <f ca="1">'Landscape Trees '!G188</f>
        <v>10</v>
      </c>
      <c r="G375" s="53">
        <f ca="1">'Landscape Trees '!H188</f>
        <v>70</v>
      </c>
      <c r="H375" s="51" t="str">
        <f t="shared" ca="1" si="3"/>
        <v>Red Oak #7</v>
      </c>
      <c r="I375" s="54"/>
      <c r="J375" s="55">
        <f t="shared" ca="1" si="2"/>
        <v>0</v>
      </c>
      <c r="K375" s="55"/>
    </row>
    <row r="376" spans="1:11" ht="12.75" x14ac:dyDescent="0.2">
      <c r="A376" s="51" t="str">
        <f ca="1">'Landscape Trees '!A189</f>
        <v>Quercus rubra</v>
      </c>
      <c r="B376" s="51" t="str">
        <f ca="1">'Landscape Trees '!C189</f>
        <v>Red Oak</v>
      </c>
      <c r="C376" s="42" t="str">
        <f ca="1">'Landscape Trees '!D189</f>
        <v>#10</v>
      </c>
      <c r="D376" s="42" t="str">
        <f ca="1">'Landscape Trees '!E189</f>
        <v>0.75-1.25"</v>
      </c>
      <c r="E376" s="42" t="str">
        <f ca="1">'Landscape Trees '!F189</f>
        <v>6-9'</v>
      </c>
      <c r="F376" s="52">
        <f ca="1">'Landscape Trees '!G189</f>
        <v>19</v>
      </c>
      <c r="G376" s="53">
        <f ca="1">'Landscape Trees '!H189</f>
        <v>100</v>
      </c>
      <c r="H376" s="51" t="str">
        <f t="shared" ca="1" si="3"/>
        <v>Red Oak #10</v>
      </c>
      <c r="I376" s="54"/>
      <c r="J376" s="55">
        <f t="shared" ca="1" si="2"/>
        <v>0</v>
      </c>
      <c r="K376" s="55"/>
    </row>
    <row r="377" spans="1:11" ht="12.75" x14ac:dyDescent="0.2">
      <c r="A377" s="51" t="str">
        <f ca="1">'Landscape Trees '!A190</f>
        <v>Quercus rubra</v>
      </c>
      <c r="B377" s="51" t="str">
        <f ca="1">'Landscape Trees '!C190</f>
        <v>Red Oak</v>
      </c>
      <c r="C377" s="42" t="str">
        <f ca="1">'Landscape Trees '!D190</f>
        <v>#15</v>
      </c>
      <c r="D377" s="42" t="str">
        <f ca="1">'Landscape Trees '!E190</f>
        <v>1-2.25"</v>
      </c>
      <c r="E377" s="42" t="str">
        <f ca="1">'Landscape Trees '!F190</f>
        <v>9-14'</v>
      </c>
      <c r="F377" s="52">
        <f ca="1">'Landscape Trees '!G190</f>
        <v>10</v>
      </c>
      <c r="G377" s="53">
        <f ca="1">'Landscape Trees '!H190</f>
        <v>135</v>
      </c>
      <c r="H377" s="51" t="str">
        <f t="shared" ca="1" si="3"/>
        <v>Red Oak #15</v>
      </c>
      <c r="I377" s="54"/>
      <c r="J377" s="55">
        <f t="shared" ca="1" si="2"/>
        <v>0</v>
      </c>
      <c r="K377" s="55"/>
    </row>
    <row r="378" spans="1:11" ht="12.75" x14ac:dyDescent="0.2">
      <c r="A378" s="51" t="str">
        <f ca="1">'Landscape Trees '!A191</f>
        <v>Quercus stellata</v>
      </c>
      <c r="B378" s="51" t="str">
        <f ca="1">'Landscape Trees '!C191</f>
        <v>Post Oak</v>
      </c>
      <c r="C378" s="42" t="str">
        <f ca="1">'Landscape Trees '!D191</f>
        <v>#5</v>
      </c>
      <c r="D378" s="42" t="str">
        <f ca="1">'Landscape Trees '!E191</f>
        <v>0.25-0.75"</v>
      </c>
      <c r="E378" s="42" t="str">
        <f ca="1">'Landscape Trees '!F191</f>
        <v>1.5-7'</v>
      </c>
      <c r="F378" s="52">
        <f ca="1">'Landscape Trees '!G191</f>
        <v>3</v>
      </c>
      <c r="G378" s="53">
        <f ca="1">'Landscape Trees '!H191</f>
        <v>55</v>
      </c>
      <c r="H378" s="51" t="str">
        <f t="shared" ca="1" si="3"/>
        <v>Post Oak #5</v>
      </c>
      <c r="I378" s="54"/>
      <c r="J378" s="55">
        <f t="shared" ca="1" si="2"/>
        <v>0</v>
      </c>
      <c r="K378" s="55"/>
    </row>
    <row r="379" spans="1:11" ht="12.75" x14ac:dyDescent="0.2">
      <c r="A379" s="51" t="str">
        <f ca="1">'Landscape Trees '!A192</f>
        <v>Quercus x warei 'Regal Prince'</v>
      </c>
      <c r="B379" s="51" t="str">
        <f ca="1">'Landscape Trees '!C192</f>
        <v>Regal Prince Oak</v>
      </c>
      <c r="C379" s="42" t="str">
        <f ca="1">'Landscape Trees '!D192</f>
        <v>#15</v>
      </c>
      <c r="D379" s="42" t="str">
        <f ca="1">'Landscape Trees '!E192</f>
        <v>1-1.75"</v>
      </c>
      <c r="E379" s="42" t="str">
        <f ca="1">'Landscape Trees '!F192</f>
        <v>8-14'</v>
      </c>
      <c r="F379" s="52">
        <f ca="1">'Landscape Trees '!G192</f>
        <v>20</v>
      </c>
      <c r="G379" s="53">
        <f ca="1">'Landscape Trees '!H192</f>
        <v>135</v>
      </c>
      <c r="H379" s="51" t="str">
        <f t="shared" ca="1" si="3"/>
        <v>Regal Prince Oak #15</v>
      </c>
      <c r="I379" s="54"/>
      <c r="J379" s="55">
        <f t="shared" ca="1" si="2"/>
        <v>0</v>
      </c>
      <c r="K379" s="55"/>
    </row>
    <row r="380" spans="1:11" ht="12.75" x14ac:dyDescent="0.2">
      <c r="A380" s="51" t="str">
        <f ca="1">'Landscape Trees '!A193</f>
        <v>Quercus x warei 'Regal Prince'</v>
      </c>
      <c r="B380" s="51" t="str">
        <f ca="1">'Landscape Trees '!C193</f>
        <v>Regal Prince Oak</v>
      </c>
      <c r="C380" s="42" t="str">
        <f ca="1">'Landscape Trees '!D193</f>
        <v>#25</v>
      </c>
      <c r="D380" s="42" t="str">
        <f ca="1">'Landscape Trees '!E193</f>
        <v>1.25-1.25"</v>
      </c>
      <c r="E380" s="42" t="str">
        <f ca="1">'Landscape Trees '!F193</f>
        <v>8-9'</v>
      </c>
      <c r="F380" s="52">
        <f ca="1">'Landscape Trees '!G193</f>
        <v>2</v>
      </c>
      <c r="G380" s="53">
        <f ca="1">'Landscape Trees '!H193</f>
        <v>150</v>
      </c>
      <c r="H380" s="51" t="str">
        <f t="shared" ca="1" si="3"/>
        <v>Regal Prince Oak #25</v>
      </c>
      <c r="I380" s="54"/>
      <c r="J380" s="55">
        <f t="shared" ca="1" si="2"/>
        <v>0</v>
      </c>
      <c r="K380" s="55"/>
    </row>
    <row r="381" spans="1:11" ht="12.75" x14ac:dyDescent="0.2">
      <c r="A381" s="51" t="str">
        <f ca="1">'Landscape Trees '!A194</f>
        <v>Rhus glabra</v>
      </c>
      <c r="B381" s="51" t="str">
        <f ca="1">'Landscape Trees '!C194</f>
        <v>Smooth Sumac</v>
      </c>
      <c r="C381" s="42" t="str">
        <f ca="1">'Landscape Trees '!D194</f>
        <v>#5</v>
      </c>
      <c r="D381" s="42" t="str">
        <f ca="1">'Landscape Trees '!E194</f>
        <v>0.75-1.25"</v>
      </c>
      <c r="E381" s="42" t="str">
        <f ca="1">'Landscape Trees '!F194</f>
        <v>5-9'</v>
      </c>
      <c r="F381" s="52">
        <f ca="1">'Landscape Trees '!G194</f>
        <v>91</v>
      </c>
      <c r="G381" s="53">
        <f ca="1">'Landscape Trees '!H194</f>
        <v>50</v>
      </c>
      <c r="H381" s="51" t="str">
        <f t="shared" ca="1" si="3"/>
        <v>Smooth Sumac #5</v>
      </c>
      <c r="I381" s="54"/>
      <c r="J381" s="55">
        <f t="shared" ca="1" si="2"/>
        <v>0</v>
      </c>
      <c r="K381" s="55"/>
    </row>
    <row r="382" spans="1:11" ht="12.75" x14ac:dyDescent="0.2">
      <c r="A382" s="51" t="str">
        <f ca="1">'Landscape Trees '!A195</f>
        <v>Rhus typhina</v>
      </c>
      <c r="B382" s="51" t="str">
        <f ca="1">'Landscape Trees '!C195</f>
        <v>Staghorn Sumac</v>
      </c>
      <c r="C382" s="42" t="str">
        <f ca="1">'Landscape Trees '!D195</f>
        <v>#5</v>
      </c>
      <c r="D382" s="42" t="str">
        <f ca="1">'Landscape Trees '!E195</f>
        <v>0.25-1.25"</v>
      </c>
      <c r="E382" s="42" t="str">
        <f ca="1">'Landscape Trees '!F195</f>
        <v>3-7'</v>
      </c>
      <c r="F382" s="52">
        <f ca="1">'Landscape Trees '!G195</f>
        <v>7</v>
      </c>
      <c r="G382" s="53">
        <f ca="1">'Landscape Trees '!H195</f>
        <v>50</v>
      </c>
      <c r="H382" s="51" t="str">
        <f t="shared" ca="1" si="3"/>
        <v>Staghorn Sumac #5</v>
      </c>
      <c r="I382" s="54"/>
      <c r="J382" s="55">
        <f t="shared" ca="1" si="2"/>
        <v>0</v>
      </c>
      <c r="K382" s="55"/>
    </row>
    <row r="383" spans="1:11" ht="12.75" x14ac:dyDescent="0.2">
      <c r="A383" s="51" t="str">
        <f ca="1">'Landscape Trees '!A196</f>
        <v>Robinia 'Purple Robe'</v>
      </c>
      <c r="B383" s="51" t="str">
        <f ca="1">'Landscape Trees '!C196</f>
        <v>Purple Robe Black Locust</v>
      </c>
      <c r="C383" s="42" t="str">
        <f ca="1">'Landscape Trees '!D196</f>
        <v>#15</v>
      </c>
      <c r="D383" s="42" t="str">
        <f ca="1">'Landscape Trees '!E196</f>
        <v>1.25-1.5"</v>
      </c>
      <c r="E383" s="42" t="str">
        <f ca="1">'Landscape Trees '!F196</f>
        <v>10-12'</v>
      </c>
      <c r="F383" s="52">
        <f ca="1">'Landscape Trees '!G196</f>
        <v>2</v>
      </c>
      <c r="G383" s="53">
        <f ca="1">'Landscape Trees '!H196</f>
        <v>135</v>
      </c>
      <c r="H383" s="51" t="str">
        <f t="shared" ca="1" si="3"/>
        <v>Purple Robe Black Locust #15</v>
      </c>
      <c r="I383" s="54"/>
      <c r="J383" s="55">
        <f t="shared" ca="1" si="2"/>
        <v>0</v>
      </c>
      <c r="K383" s="55"/>
    </row>
    <row r="384" spans="1:11" ht="12.75" x14ac:dyDescent="0.2">
      <c r="A384" s="51" t="str">
        <f ca="1">'Landscape Trees '!A197</f>
        <v>Salix alba "Tristis"</v>
      </c>
      <c r="B384" s="51" t="str">
        <f ca="1">'Landscape Trees '!C197</f>
        <v>Niobe Golden Willow</v>
      </c>
      <c r="C384" s="42" t="str">
        <f ca="1">'Landscape Trees '!D197</f>
        <v>#15</v>
      </c>
      <c r="D384" s="42" t="str">
        <f ca="1">'Landscape Trees '!E197</f>
        <v>1.25-2.25"</v>
      </c>
      <c r="E384" s="42" t="str">
        <f ca="1">'Landscape Trees '!F197</f>
        <v>10-12'</v>
      </c>
      <c r="F384" s="52">
        <f ca="1">'Landscape Trees '!G197</f>
        <v>21</v>
      </c>
      <c r="G384" s="53">
        <f ca="1">'Landscape Trees '!H197</f>
        <v>135</v>
      </c>
      <c r="H384" s="51" t="str">
        <f t="shared" ca="1" si="3"/>
        <v>Niobe Golden Willow #15</v>
      </c>
      <c r="I384" s="54"/>
      <c r="J384" s="55">
        <f t="shared" ca="1" si="2"/>
        <v>0</v>
      </c>
      <c r="K384" s="55"/>
    </row>
    <row r="385" spans="1:11" ht="12.75" x14ac:dyDescent="0.2">
      <c r="A385" s="51" t="str">
        <f ca="1">'Landscape Trees '!A198</f>
        <v>Salix babylonica</v>
      </c>
      <c r="B385" s="51" t="str">
        <f ca="1">'Landscape Trees '!C198</f>
        <v>Weeping Willow</v>
      </c>
      <c r="C385" s="42" t="str">
        <f ca="1">'Landscape Trees '!D198</f>
        <v>#5</v>
      </c>
      <c r="D385" s="42" t="str">
        <f ca="1">'Landscape Trees '!E198</f>
        <v>1.25-1.75"</v>
      </c>
      <c r="E385" s="42" t="str">
        <f ca="1">'Landscape Trees '!F198</f>
        <v>10-16'</v>
      </c>
      <c r="F385" s="52">
        <f ca="1">'Landscape Trees '!G198</f>
        <v>8</v>
      </c>
      <c r="G385" s="53">
        <f ca="1">'Landscape Trees '!H198</f>
        <v>50</v>
      </c>
      <c r="H385" s="51" t="str">
        <f t="shared" ca="1" si="3"/>
        <v>Weeping Willow #5</v>
      </c>
      <c r="I385" s="54"/>
      <c r="J385" s="55">
        <f t="shared" ca="1" si="2"/>
        <v>0</v>
      </c>
      <c r="K385" s="55"/>
    </row>
    <row r="386" spans="1:11" ht="12.75" x14ac:dyDescent="0.2">
      <c r="A386" s="51" t="str">
        <f ca="1">'Landscape Trees '!A199</f>
        <v>Salix babylonica</v>
      </c>
      <c r="B386" s="51" t="str">
        <f ca="1">'Landscape Trees '!C199</f>
        <v>Weeping Willow</v>
      </c>
      <c r="C386" s="42" t="str">
        <f ca="1">'Landscape Trees '!D199</f>
        <v>#7</v>
      </c>
      <c r="D386" s="42" t="str">
        <f ca="1">'Landscape Trees '!E199</f>
        <v>1.25-1.75"</v>
      </c>
      <c r="E386" s="42" t="str">
        <f ca="1">'Landscape Trees '!F199</f>
        <v>10-16'</v>
      </c>
      <c r="F386" s="52">
        <f ca="1">'Landscape Trees '!G199</f>
        <v>31</v>
      </c>
      <c r="G386" s="53">
        <f ca="1">'Landscape Trees '!H199</f>
        <v>60</v>
      </c>
      <c r="H386" s="51" t="str">
        <f t="shared" ca="1" si="3"/>
        <v>Weeping Willow #7</v>
      </c>
      <c r="I386" s="54"/>
      <c r="J386" s="55">
        <f t="shared" ca="1" si="2"/>
        <v>0</v>
      </c>
      <c r="K386" s="55"/>
    </row>
    <row r="387" spans="1:11" ht="12.75" x14ac:dyDescent="0.2">
      <c r="A387" s="51" t="str">
        <f ca="1">'Landscape Trees '!A200</f>
        <v>Salix babylonica</v>
      </c>
      <c r="B387" s="51" t="str">
        <f ca="1">'Landscape Trees '!C200</f>
        <v>Weeping Willow</v>
      </c>
      <c r="C387" s="42" t="str">
        <f ca="1">'Landscape Trees '!D200</f>
        <v>#15</v>
      </c>
      <c r="D387" s="42" t="str">
        <f ca="1">'Landscape Trees '!E200</f>
        <v>0.75-3"</v>
      </c>
      <c r="E387" s="42" t="str">
        <f ca="1">'Landscape Trees '!F200</f>
        <v>10-13'</v>
      </c>
      <c r="F387" s="52">
        <f ca="1">'Landscape Trees '!G200</f>
        <v>1</v>
      </c>
      <c r="G387" s="53">
        <f ca="1">'Landscape Trees '!H200</f>
        <v>135</v>
      </c>
      <c r="H387" s="51" t="str">
        <f t="shared" ca="1" si="3"/>
        <v>Weeping Willow #15</v>
      </c>
      <c r="I387" s="54"/>
      <c r="J387" s="55">
        <f t="shared" ca="1" si="2"/>
        <v>0</v>
      </c>
      <c r="K387" s="55"/>
    </row>
    <row r="388" spans="1:11" ht="12.75" x14ac:dyDescent="0.2">
      <c r="A388" s="51" t="str">
        <f ca="1">'Landscape Trees '!A201</f>
        <v>Salix integra 'Hakuro Nishiki'</v>
      </c>
      <c r="B388" s="51" t="str">
        <f ca="1">'Landscape Trees '!C201</f>
        <v>Nishiki Dappled Willow</v>
      </c>
      <c r="C388" s="42" t="str">
        <f ca="1">'Landscape Trees '!D201</f>
        <v>#7</v>
      </c>
      <c r="D388" s="42" t="str">
        <f ca="1">'Landscape Trees '!E201</f>
        <v>0.5-1"</v>
      </c>
      <c r="E388" s="42" t="str">
        <f ca="1">'Landscape Trees '!F201</f>
        <v>3-6'</v>
      </c>
      <c r="F388" s="52">
        <f ca="1">'Landscape Trees '!G201</f>
        <v>9</v>
      </c>
      <c r="G388" s="53">
        <f ca="1">'Landscape Trees '!H201</f>
        <v>80</v>
      </c>
      <c r="H388" s="51" t="str">
        <f t="shared" ca="1" si="3"/>
        <v>Nishiki Dappled Willow #7</v>
      </c>
      <c r="I388" s="54"/>
      <c r="J388" s="55">
        <f t="shared" ca="1" si="2"/>
        <v>0</v>
      </c>
      <c r="K388" s="55"/>
    </row>
    <row r="389" spans="1:11" ht="12.75" x14ac:dyDescent="0.2">
      <c r="A389" s="51" t="str">
        <f ca="1">'Landscape Trees '!A202</f>
        <v>Salix pentaphyllum</v>
      </c>
      <c r="B389" s="51" t="str">
        <f ca="1">'Landscape Trees '!C202</f>
        <v>Prairie Cascade Willow</v>
      </c>
      <c r="C389" s="42" t="str">
        <f ca="1">'Landscape Trees '!D202</f>
        <v>#15</v>
      </c>
      <c r="D389" s="42" t="str">
        <f ca="1">'Landscape Trees '!E202</f>
        <v>1.75-2.5"</v>
      </c>
      <c r="E389" s="42" t="str">
        <f ca="1">'Landscape Trees '!F202</f>
        <v>10-16'</v>
      </c>
      <c r="F389" s="52">
        <f ca="1">'Landscape Trees '!G202</f>
        <v>14</v>
      </c>
      <c r="G389" s="53">
        <f ca="1">'Landscape Trees '!H202</f>
        <v>135</v>
      </c>
      <c r="H389" s="51" t="str">
        <f t="shared" ca="1" si="3"/>
        <v>Prairie Cascade Willow #15</v>
      </c>
      <c r="I389" s="54"/>
      <c r="J389" s="55">
        <f t="shared" ca="1" si="2"/>
        <v>0</v>
      </c>
      <c r="K389" s="55"/>
    </row>
    <row r="390" spans="1:11" ht="12.75" x14ac:dyDescent="0.2">
      <c r="A390" s="51" t="str">
        <f ca="1">'Landscape Trees '!A203</f>
        <v>Salix pentaphyllum</v>
      </c>
      <c r="B390" s="51" t="str">
        <f ca="1">'Landscape Trees '!C203</f>
        <v>Prairie Cascade Willow</v>
      </c>
      <c r="C390" s="42" t="str">
        <f ca="1">'Landscape Trees '!D203</f>
        <v>#25</v>
      </c>
      <c r="D390" s="42" t="str">
        <f ca="1">'Landscape Trees '!E203</f>
        <v>2.25-3"</v>
      </c>
      <c r="E390" s="42" t="str">
        <f ca="1">'Landscape Trees '!F203</f>
        <v>14-16'</v>
      </c>
      <c r="F390" s="52">
        <f ca="1">'Landscape Trees '!G203</f>
        <v>3</v>
      </c>
      <c r="G390" s="53">
        <f ca="1">'Landscape Trees '!H203</f>
        <v>150</v>
      </c>
      <c r="H390" s="51" t="str">
        <f t="shared" ca="1" si="3"/>
        <v>Prairie Cascade Willow #25</v>
      </c>
      <c r="I390" s="54"/>
      <c r="J390" s="55">
        <f t="shared" ca="1" si="2"/>
        <v>0</v>
      </c>
      <c r="K390" s="55"/>
    </row>
    <row r="391" spans="1:11" ht="12.75" x14ac:dyDescent="0.2">
      <c r="A391" s="51" t="str">
        <f ca="1">'Landscape Trees '!A204</f>
        <v>Sambucus canadensis</v>
      </c>
      <c r="B391" s="51" t="str">
        <f ca="1">'Landscape Trees '!C204</f>
        <v>Elderberry</v>
      </c>
      <c r="C391" s="42" t="str">
        <f ca="1">'Landscape Trees '!D204</f>
        <v>#5</v>
      </c>
      <c r="D391" s="42" t="str">
        <f ca="1">'Landscape Trees '!E204</f>
        <v>Multi</v>
      </c>
      <c r="E391" s="42" t="str">
        <f ca="1">'Landscape Trees '!F204</f>
        <v>1-5'</v>
      </c>
      <c r="F391" s="52">
        <f ca="1">'Landscape Trees '!G204</f>
        <v>163</v>
      </c>
      <c r="G391" s="53">
        <f ca="1">'Landscape Trees '!H204</f>
        <v>35</v>
      </c>
      <c r="H391" s="51" t="str">
        <f t="shared" ca="1" si="3"/>
        <v>Elderberry #5</v>
      </c>
      <c r="I391" s="54"/>
      <c r="J391" s="55">
        <f t="shared" ca="1" si="2"/>
        <v>0</v>
      </c>
      <c r="K391" s="55"/>
    </row>
    <row r="392" spans="1:11" ht="12.75" x14ac:dyDescent="0.2">
      <c r="A392" s="51" t="str">
        <f ca="1">'Landscape Trees '!A205</f>
        <v>Sambucus canadensis 'Pocahontas'</v>
      </c>
      <c r="B392" s="51" t="str">
        <f ca="1">'Landscape Trees '!C205</f>
        <v>Elderberry - Pocahontas</v>
      </c>
      <c r="C392" s="42" t="str">
        <f ca="1">'Landscape Trees '!D205</f>
        <v>#5</v>
      </c>
      <c r="D392" s="42" t="str">
        <f ca="1">'Landscape Trees '!E205</f>
        <v>Multi</v>
      </c>
      <c r="E392" s="42" t="str">
        <f ca="1">'Landscape Trees '!F205</f>
        <v>1.5-4'</v>
      </c>
      <c r="F392" s="52">
        <f ca="1">'Landscape Trees '!G205</f>
        <v>27</v>
      </c>
      <c r="G392" s="53">
        <f ca="1">'Landscape Trees '!H205</f>
        <v>35</v>
      </c>
      <c r="H392" s="51" t="str">
        <f t="shared" ca="1" si="3"/>
        <v>Elderberry - Pocahontas #5</v>
      </c>
      <c r="I392" s="54"/>
      <c r="J392" s="55">
        <f t="shared" ca="1" si="2"/>
        <v>0</v>
      </c>
      <c r="K392" s="55"/>
    </row>
    <row r="393" spans="1:11" ht="12.75" x14ac:dyDescent="0.2">
      <c r="A393" s="51" t="str">
        <f ca="1">'Landscape Trees '!A206</f>
        <v>Sambucus canadensis 'York'</v>
      </c>
      <c r="B393" s="51" t="str">
        <f ca="1">'Landscape Trees '!C206</f>
        <v>Elderberry - York</v>
      </c>
      <c r="C393" s="42" t="str">
        <f ca="1">'Landscape Trees '!D206</f>
        <v>#5</v>
      </c>
      <c r="D393" s="42" t="str">
        <f ca="1">'Landscape Trees '!E206</f>
        <v>Multi</v>
      </c>
      <c r="E393" s="42" t="str">
        <f ca="1">'Landscape Trees '!F206</f>
        <v>3-5'</v>
      </c>
      <c r="F393" s="52">
        <f ca="1">'Landscape Trees '!G206</f>
        <v>141</v>
      </c>
      <c r="G393" s="53">
        <f ca="1">'Landscape Trees '!H206</f>
        <v>35</v>
      </c>
      <c r="H393" s="51" t="str">
        <f t="shared" ca="1" si="3"/>
        <v>Elderberry - York #5</v>
      </c>
      <c r="I393" s="54"/>
      <c r="J393" s="55">
        <f t="shared" ca="1" si="2"/>
        <v>0</v>
      </c>
      <c r="K393" s="55"/>
    </row>
    <row r="394" spans="1:11" ht="12.75" x14ac:dyDescent="0.2">
      <c r="A394" s="51" t="str">
        <f ca="1">'Landscape Trees '!A207</f>
        <v>Sassafras albidum</v>
      </c>
      <c r="B394" s="51" t="str">
        <f ca="1">'Landscape Trees '!C207</f>
        <v>Sassafras</v>
      </c>
      <c r="C394" s="42" t="str">
        <f ca="1">'Landscape Trees '!D207</f>
        <v>#7</v>
      </c>
      <c r="D394" s="42" t="str">
        <f ca="1">'Landscape Trees '!E207</f>
        <v>0.5-0.75"</v>
      </c>
      <c r="E394" s="42" t="str">
        <f ca="1">'Landscape Trees '!F207</f>
        <v>3-6'</v>
      </c>
      <c r="F394" s="52">
        <f ca="1">'Landscape Trees '!G207</f>
        <v>12</v>
      </c>
      <c r="G394" s="53">
        <f ca="1">'Landscape Trees '!H207</f>
        <v>100</v>
      </c>
      <c r="H394" s="51" t="str">
        <f t="shared" ca="1" si="3"/>
        <v>Sassafras #7</v>
      </c>
      <c r="I394" s="54"/>
      <c r="J394" s="55">
        <f t="shared" ca="1" si="2"/>
        <v>0</v>
      </c>
      <c r="K394" s="55"/>
    </row>
    <row r="395" spans="1:11" ht="12.75" x14ac:dyDescent="0.2">
      <c r="A395" s="51" t="str">
        <f ca="1">'Landscape Trees '!A208</f>
        <v>Stewartia pseudocamellia</v>
      </c>
      <c r="B395" s="51" t="str">
        <f ca="1">'Landscape Trees '!C208</f>
        <v>Japanese Stewartia</v>
      </c>
      <c r="C395" s="42" t="str">
        <f ca="1">'Landscape Trees '!D208</f>
        <v>#5</v>
      </c>
      <c r="D395" s="42" t="str">
        <f ca="1">'Landscape Trees '!E208</f>
        <v>0.5-1.25"</v>
      </c>
      <c r="E395" s="42" t="str">
        <f ca="1">'Landscape Trees '!F208</f>
        <v>5-8'</v>
      </c>
      <c r="F395" s="52">
        <f ca="1">'Landscape Trees '!G208</f>
        <v>22</v>
      </c>
      <c r="G395" s="53">
        <f ca="1">'Landscape Trees '!H208</f>
        <v>70</v>
      </c>
      <c r="H395" s="51" t="str">
        <f t="shared" ca="1" si="3"/>
        <v>Japanese Stewartia #5</v>
      </c>
      <c r="I395" s="54"/>
      <c r="J395" s="55">
        <f t="shared" ca="1" si="2"/>
        <v>0</v>
      </c>
      <c r="K395" s="55"/>
    </row>
    <row r="396" spans="1:11" ht="12.75" x14ac:dyDescent="0.2">
      <c r="A396" s="51" t="str">
        <f ca="1">'Landscape Trees '!A209</f>
        <v>Syringa vulgaris</v>
      </c>
      <c r="B396" s="51" t="str">
        <f ca="1">'Landscape Trees '!C209</f>
        <v>Purple Lilac</v>
      </c>
      <c r="C396" s="42" t="str">
        <f ca="1">'Landscape Trees '!D209</f>
        <v>#5</v>
      </c>
      <c r="D396" s="42" t="str">
        <f ca="1">'Landscape Trees '!E209</f>
        <v>0.25-1"</v>
      </c>
      <c r="E396" s="42" t="str">
        <f ca="1">'Landscape Trees '!F209</f>
        <v>1-5'</v>
      </c>
      <c r="F396" s="52">
        <f ca="1">'Landscape Trees '!G209</f>
        <v>9</v>
      </c>
      <c r="G396" s="53">
        <f ca="1">'Landscape Trees '!H209</f>
        <v>37</v>
      </c>
      <c r="H396" s="51" t="str">
        <f t="shared" ca="1" si="3"/>
        <v>Purple Lilac #5</v>
      </c>
      <c r="I396" s="54"/>
      <c r="J396" s="55">
        <f t="shared" ca="1" si="2"/>
        <v>0</v>
      </c>
      <c r="K396" s="55"/>
    </row>
    <row r="397" spans="1:11" ht="12.75" x14ac:dyDescent="0.2">
      <c r="A397" s="51" t="str">
        <f ca="1">'Landscape Trees '!A210</f>
        <v>Taxodium distichum</v>
      </c>
      <c r="B397" s="51" t="str">
        <f ca="1">'Landscape Trees '!C210</f>
        <v>Bald Cypress</v>
      </c>
      <c r="C397" s="42" t="str">
        <f ca="1">'Landscape Trees '!D210</f>
        <v>#5</v>
      </c>
      <c r="D397" s="42" t="str">
        <f ca="1">'Landscape Trees '!E210</f>
        <v>0.75-1"</v>
      </c>
      <c r="E397" s="42" t="str">
        <f ca="1">'Landscape Trees '!F210</f>
        <v>4-6'</v>
      </c>
      <c r="F397" s="52">
        <f ca="1">'Landscape Trees '!G210</f>
        <v>4</v>
      </c>
      <c r="G397" s="53">
        <f ca="1">'Landscape Trees '!H210</f>
        <v>50</v>
      </c>
      <c r="H397" s="51" t="str">
        <f t="shared" ca="1" si="3"/>
        <v>Bald Cypress #5</v>
      </c>
      <c r="I397" s="54"/>
      <c r="J397" s="55">
        <f t="shared" ca="1" si="2"/>
        <v>0</v>
      </c>
      <c r="K397" s="55"/>
    </row>
    <row r="398" spans="1:11" ht="12.75" x14ac:dyDescent="0.2">
      <c r="A398" s="51" t="str">
        <f ca="1">'Landscape Trees '!A211</f>
        <v>Taxodium distichum</v>
      </c>
      <c r="B398" s="51" t="str">
        <f ca="1">'Landscape Trees '!C211</f>
        <v>Bald Cypress</v>
      </c>
      <c r="C398" s="42" t="str">
        <f ca="1">'Landscape Trees '!D211</f>
        <v>#15</v>
      </c>
      <c r="D398" s="42" t="str">
        <f ca="1">'Landscape Trees '!E211</f>
        <v>1.5-1.5"</v>
      </c>
      <c r="E398" s="42" t="str">
        <f ca="1">'Landscape Trees '!F211</f>
        <v>7-7'</v>
      </c>
      <c r="F398" s="52">
        <f ca="1">'Landscape Trees '!G211</f>
        <v>1</v>
      </c>
      <c r="G398" s="53">
        <f ca="1">'Landscape Trees '!H211</f>
        <v>135</v>
      </c>
      <c r="H398" s="51" t="str">
        <f t="shared" ca="1" si="3"/>
        <v>Bald Cypress #15</v>
      </c>
      <c r="I398" s="54"/>
      <c r="J398" s="55">
        <f t="shared" ca="1" si="2"/>
        <v>0</v>
      </c>
      <c r="K398" s="55"/>
    </row>
    <row r="399" spans="1:11" ht="12.75" x14ac:dyDescent="0.2">
      <c r="A399" s="51" t="str">
        <f ca="1">'Landscape Trees '!A212</f>
        <v>Taxodium distichum 'Lindsey's Skyward'</v>
      </c>
      <c r="B399" s="51" t="str">
        <f ca="1">'Landscape Trees '!C212</f>
        <v>Lindsey's Skyward Bald Cypress</v>
      </c>
      <c r="C399" s="42" t="str">
        <f ca="1">'Landscape Trees '!D212</f>
        <v>#10</v>
      </c>
      <c r="D399" s="42" t="str">
        <f ca="1">'Landscape Trees '!E212</f>
        <v>0.75-1.25"</v>
      </c>
      <c r="E399" s="42" t="str">
        <f ca="1">'Landscape Trees '!F212</f>
        <v>5-8'</v>
      </c>
      <c r="F399" s="52">
        <f ca="1">'Landscape Trees '!G212</f>
        <v>17</v>
      </c>
      <c r="G399" s="53">
        <f ca="1">'Landscape Trees '!H212</f>
        <v>100</v>
      </c>
      <c r="H399" s="51" t="str">
        <f t="shared" ca="1" si="3"/>
        <v>Lindsey's Skyward Bald Cypress #10</v>
      </c>
      <c r="I399" s="54"/>
      <c r="J399" s="55">
        <f t="shared" ca="1" si="2"/>
        <v>0</v>
      </c>
      <c r="K399" s="55"/>
    </row>
    <row r="400" spans="1:11" ht="12.75" x14ac:dyDescent="0.2">
      <c r="A400" s="51" t="str">
        <f ca="1">'Landscape Trees '!A213</f>
        <v>Taxodium distichum 'Shawnee Brave'</v>
      </c>
      <c r="B400" s="51" t="str">
        <f ca="1">'Landscape Trees '!C213</f>
        <v>Shawnee Brave Bald Cypress</v>
      </c>
      <c r="C400" s="42" t="str">
        <f ca="1">'Landscape Trees '!D213</f>
        <v>#15</v>
      </c>
      <c r="D400" s="42" t="str">
        <f ca="1">'Landscape Trees '!E213</f>
        <v>0.75-1"</v>
      </c>
      <c r="E400" s="42" t="str">
        <f ca="1">'Landscape Trees '!F213</f>
        <v>5-6'</v>
      </c>
      <c r="F400" s="52">
        <f ca="1">'Landscape Trees '!G213</f>
        <v>21</v>
      </c>
      <c r="G400" s="53">
        <f ca="1">'Landscape Trees '!H213</f>
        <v>135</v>
      </c>
      <c r="H400" s="51" t="str">
        <f t="shared" ca="1" si="3"/>
        <v>Shawnee Brave Bald Cypress #15</v>
      </c>
      <c r="I400" s="54"/>
      <c r="J400" s="55">
        <f t="shared" ca="1" si="2"/>
        <v>0</v>
      </c>
      <c r="K400" s="55"/>
    </row>
    <row r="401" spans="1:11" ht="12.75" x14ac:dyDescent="0.2">
      <c r="A401" s="51" t="str">
        <f ca="1">'Landscape Trees '!A214</f>
        <v>Taxus x media</v>
      </c>
      <c r="B401" s="51" t="str">
        <f ca="1">'Landscape Trees '!C214</f>
        <v>Hicksii Yew</v>
      </c>
      <c r="C401" s="42" t="str">
        <f ca="1">'Landscape Trees '!D214</f>
        <v>#3</v>
      </c>
      <c r="D401" s="42" t="str">
        <f ca="1">'Landscape Trees '!E214</f>
        <v>Multi</v>
      </c>
      <c r="E401" s="42" t="str">
        <f ca="1">'Landscape Trees '!F214</f>
        <v>1.5-2'</v>
      </c>
      <c r="F401" s="52">
        <f ca="1">'Landscape Trees '!G214</f>
        <v>3</v>
      </c>
      <c r="G401" s="53">
        <f ca="1">'Landscape Trees '!H214</f>
        <v>35</v>
      </c>
      <c r="H401" s="51" t="str">
        <f t="shared" ca="1" si="3"/>
        <v>Hicksii Yew #3</v>
      </c>
      <c r="I401" s="54"/>
      <c r="J401" s="55">
        <f t="shared" ca="1" si="2"/>
        <v>0</v>
      </c>
      <c r="K401" s="55"/>
    </row>
    <row r="402" spans="1:11" ht="12.75" x14ac:dyDescent="0.2">
      <c r="A402" s="51" t="str">
        <f ca="1">'Landscape Trees '!A215</f>
        <v>Thuja plicata x standishii 'Green Giant'</v>
      </c>
      <c r="B402" s="51" t="str">
        <f ca="1">'Landscape Trees '!C215</f>
        <v>Green Giant Arborvitae</v>
      </c>
      <c r="C402" s="42" t="str">
        <f ca="1">'Landscape Trees '!D215</f>
        <v>#5</v>
      </c>
      <c r="D402" s="42" t="str">
        <f ca="1">'Landscape Trees '!E215</f>
        <v>0.25-0.75"</v>
      </c>
      <c r="E402" s="42" t="str">
        <f ca="1">'Landscape Trees '!F215</f>
        <v>2-4'</v>
      </c>
      <c r="F402" s="52">
        <f ca="1">'Landscape Trees '!G215</f>
        <v>112</v>
      </c>
      <c r="G402" s="53">
        <f ca="1">'Landscape Trees '!H215</f>
        <v>50</v>
      </c>
      <c r="H402" s="51" t="str">
        <f t="shared" ca="1" si="3"/>
        <v>Green Giant Arborvitae #5</v>
      </c>
      <c r="I402" s="54"/>
      <c r="J402" s="55">
        <f t="shared" ca="1" si="2"/>
        <v>0</v>
      </c>
      <c r="K402" s="55"/>
    </row>
    <row r="403" spans="1:11" ht="12.75" x14ac:dyDescent="0.2">
      <c r="A403" s="51" t="str">
        <f ca="1">'Landscape Trees '!A216</f>
        <v>Thuja plicata x standishii 'Green Giant'</v>
      </c>
      <c r="B403" s="51" t="str">
        <f ca="1">'Landscape Trees '!C216</f>
        <v>Green Giant Arborvitae</v>
      </c>
      <c r="C403" s="42" t="str">
        <f ca="1">'Landscape Trees '!D216</f>
        <v>#10</v>
      </c>
      <c r="D403" s="42" t="str">
        <f ca="1">'Landscape Trees '!E216</f>
        <v>1.25-1.75"</v>
      </c>
      <c r="E403" s="42" t="str">
        <f ca="1">'Landscape Trees '!F216</f>
        <v>6-7'</v>
      </c>
      <c r="F403" s="52">
        <f ca="1">'Landscape Trees '!G216</f>
        <v>68</v>
      </c>
      <c r="G403" s="53">
        <f ca="1">'Landscape Trees '!H216</f>
        <v>135</v>
      </c>
      <c r="H403" s="51" t="str">
        <f t="shared" ca="1" si="3"/>
        <v>Green Giant Arborvitae #10</v>
      </c>
      <c r="I403" s="54"/>
      <c r="J403" s="55">
        <f t="shared" ca="1" si="2"/>
        <v>0</v>
      </c>
      <c r="K403" s="55"/>
    </row>
    <row r="404" spans="1:11" ht="12.75" x14ac:dyDescent="0.2">
      <c r="A404" s="51" t="str">
        <f ca="1">'Landscape Trees '!A217</f>
        <v>Tilia americana</v>
      </c>
      <c r="B404" s="51" t="str">
        <f ca="1">'Landscape Trees '!C217</f>
        <v>American Linden</v>
      </c>
      <c r="C404" s="42" t="str">
        <f ca="1">'Landscape Trees '!D217</f>
        <v>#5</v>
      </c>
      <c r="D404" s="42" t="str">
        <f ca="1">'Landscape Trees '!E217</f>
        <v>0.25-1.25"</v>
      </c>
      <c r="E404" s="42" t="str">
        <f ca="1">'Landscape Trees '!F217</f>
        <v>3-8'</v>
      </c>
      <c r="F404" s="52">
        <f ca="1">'Landscape Trees '!G217</f>
        <v>38</v>
      </c>
      <c r="G404" s="53">
        <f ca="1">'Landscape Trees '!H217</f>
        <v>50</v>
      </c>
      <c r="H404" s="51" t="str">
        <f t="shared" ca="1" si="3"/>
        <v>American Linden #5</v>
      </c>
      <c r="I404" s="54"/>
      <c r="J404" s="55">
        <f t="shared" ca="1" si="2"/>
        <v>0</v>
      </c>
      <c r="K404" s="55"/>
    </row>
    <row r="405" spans="1:11" ht="12.75" x14ac:dyDescent="0.2">
      <c r="A405" s="51" t="str">
        <f ca="1">'Landscape Trees '!A218</f>
        <v>Tilia americana 'American Sentry'</v>
      </c>
      <c r="B405" s="51" t="str">
        <f ca="1">'Landscape Trees '!C218</f>
        <v>American Sentry Linden</v>
      </c>
      <c r="C405" s="42" t="str">
        <f ca="1">'Landscape Trees '!D218</f>
        <v>#15</v>
      </c>
      <c r="D405" s="42" t="str">
        <f ca="1">'Landscape Trees '!E218</f>
        <v>1.25-2"</v>
      </c>
      <c r="E405" s="42" t="str">
        <f ca="1">'Landscape Trees '!F218</f>
        <v>8.5-12'</v>
      </c>
      <c r="F405" s="52">
        <f ca="1">'Landscape Trees '!G218</f>
        <v>1</v>
      </c>
      <c r="G405" s="53">
        <f ca="1">'Landscape Trees '!H218</f>
        <v>135</v>
      </c>
      <c r="H405" s="51" t="str">
        <f t="shared" ca="1" si="3"/>
        <v>American Sentry Linden #15</v>
      </c>
      <c r="I405" s="54"/>
      <c r="J405" s="55">
        <f t="shared" ca="1" si="2"/>
        <v>0</v>
      </c>
      <c r="K405" s="55"/>
    </row>
    <row r="406" spans="1:11" ht="12.75" x14ac:dyDescent="0.2">
      <c r="A406" s="51" t="str">
        <f ca="1">'Landscape Trees '!A219</f>
        <v>Tilia cordata</v>
      </c>
      <c r="B406" s="51" t="str">
        <f ca="1">'Landscape Trees '!C219</f>
        <v>Littleleaf Linden</v>
      </c>
      <c r="C406" s="42" t="str">
        <f ca="1">'Landscape Trees '!D219</f>
        <v>#5</v>
      </c>
      <c r="D406" s="42" t="str">
        <f ca="1">'Landscape Trees '!E219</f>
        <v>0.75-1.5"</v>
      </c>
      <c r="E406" s="42" t="str">
        <f ca="1">'Landscape Trees '!F219</f>
        <v>5-8'</v>
      </c>
      <c r="F406" s="52">
        <f ca="1">'Landscape Trees '!G219</f>
        <v>21</v>
      </c>
      <c r="G406" s="53">
        <f ca="1">'Landscape Trees '!H219</f>
        <v>50</v>
      </c>
      <c r="H406" s="51" t="str">
        <f t="shared" ca="1" si="3"/>
        <v>Littleleaf Linden #5</v>
      </c>
      <c r="I406" s="54"/>
      <c r="J406" s="55">
        <f t="shared" ca="1" si="2"/>
        <v>0</v>
      </c>
      <c r="K406" s="55"/>
    </row>
    <row r="407" spans="1:11" ht="12.75" x14ac:dyDescent="0.2">
      <c r="A407" s="51" t="str">
        <f ca="1">'Landscape Trees '!A220</f>
        <v>Tilia tomentosa</v>
      </c>
      <c r="B407" s="51" t="str">
        <f ca="1">'Landscape Trees '!C220</f>
        <v>Silver Linden</v>
      </c>
      <c r="C407" s="42" t="str">
        <f ca="1">'Landscape Trees '!D220</f>
        <v>#5</v>
      </c>
      <c r="D407" s="42" t="str">
        <f ca="1">'Landscape Trees '!E220</f>
        <v>0.5-1.5"</v>
      </c>
      <c r="E407" s="42" t="str">
        <f ca="1">'Landscape Trees '!F220</f>
        <v>3-9'</v>
      </c>
      <c r="F407" s="52">
        <f ca="1">'Landscape Trees '!G220</f>
        <v>39</v>
      </c>
      <c r="G407" s="53">
        <f ca="1">'Landscape Trees '!H220</f>
        <v>50</v>
      </c>
      <c r="H407" s="51" t="str">
        <f t="shared" ca="1" si="3"/>
        <v>Silver Linden #5</v>
      </c>
      <c r="I407" s="54"/>
      <c r="J407" s="55">
        <f t="shared" ca="1" si="2"/>
        <v>0</v>
      </c>
      <c r="K407" s="55"/>
    </row>
    <row r="408" spans="1:11" ht="12.75" x14ac:dyDescent="0.2">
      <c r="A408" s="51" t="str">
        <f ca="1">'Landscape Trees '!A221</f>
        <v>Tilia x mongolica 'Harvest Gold'</v>
      </c>
      <c r="B408" s="51" t="str">
        <f ca="1">'Landscape Trees '!C221</f>
        <v>Harvest Gold Linden</v>
      </c>
      <c r="C408" s="42" t="str">
        <f ca="1">'Landscape Trees '!D221</f>
        <v>#15</v>
      </c>
      <c r="D408" s="42" t="str">
        <f ca="1">'Landscape Trees '!E221</f>
        <v>1.25-2.25"</v>
      </c>
      <c r="E408" s="42" t="str">
        <f ca="1">'Landscape Trees '!F221</f>
        <v>8.5-9.5'</v>
      </c>
      <c r="F408" s="52">
        <f ca="1">'Landscape Trees '!G221</f>
        <v>12</v>
      </c>
      <c r="G408" s="53">
        <f ca="1">'Landscape Trees '!H221</f>
        <v>135</v>
      </c>
      <c r="H408" s="51" t="str">
        <f t="shared" ca="1" si="3"/>
        <v>Harvest Gold Linden #15</v>
      </c>
      <c r="I408" s="54"/>
      <c r="J408" s="55">
        <f t="shared" ca="1" si="2"/>
        <v>0</v>
      </c>
      <c r="K408" s="55"/>
    </row>
    <row r="409" spans="1:11" ht="12.75" x14ac:dyDescent="0.2">
      <c r="A409" s="51" t="str">
        <f ca="1">'Landscape Trees '!A222</f>
        <v>Tsuga canadensis</v>
      </c>
      <c r="B409" s="51" t="str">
        <f ca="1">'Landscape Trees '!C222</f>
        <v>Hemlock</v>
      </c>
      <c r="C409" s="42" t="str">
        <f ca="1">'Landscape Trees '!D222</f>
        <v>#10</v>
      </c>
      <c r="D409" s="42" t="str">
        <f ca="1">'Landscape Trees '!E222</f>
        <v>1.25-1.5"</v>
      </c>
      <c r="E409" s="42" t="str">
        <f ca="1">'Landscape Trees '!F222</f>
        <v>4-5'</v>
      </c>
      <c r="F409" s="52">
        <f ca="1">'Landscape Trees '!G222</f>
        <v>7</v>
      </c>
      <c r="G409" s="53">
        <f ca="1">'Landscape Trees '!H222</f>
        <v>135</v>
      </c>
      <c r="H409" s="51" t="str">
        <f t="shared" ca="1" si="3"/>
        <v>Hemlock #10</v>
      </c>
      <c r="I409" s="54"/>
      <c r="J409" s="55">
        <f t="shared" ca="1" si="2"/>
        <v>0</v>
      </c>
      <c r="K409" s="55"/>
    </row>
    <row r="410" spans="1:11" ht="12.75" x14ac:dyDescent="0.2">
      <c r="A410" s="51" t="str">
        <f ca="1">'Landscape Trees '!A223</f>
        <v>Ulmus americana 'Princeton'</v>
      </c>
      <c r="B410" s="51" t="str">
        <f ca="1">'Landscape Trees '!C223</f>
        <v>Princeton Elm</v>
      </c>
      <c r="C410" s="42" t="str">
        <f ca="1">'Landscape Trees '!D223</f>
        <v>#15</v>
      </c>
      <c r="D410" s="42" t="str">
        <f ca="1">'Landscape Trees '!E223</f>
        <v>1.75-2"</v>
      </c>
      <c r="E410" s="42" t="str">
        <f ca="1">'Landscape Trees '!F223</f>
        <v>13-14'</v>
      </c>
      <c r="F410" s="52">
        <f ca="1">'Landscape Trees '!G223</f>
        <v>2</v>
      </c>
      <c r="G410" s="53">
        <f ca="1">'Landscape Trees '!H223</f>
        <v>135</v>
      </c>
      <c r="H410" s="51" t="str">
        <f t="shared" ca="1" si="3"/>
        <v>Princeton Elm #15</v>
      </c>
      <c r="I410" s="54"/>
      <c r="J410" s="55">
        <f t="shared" ca="1" si="2"/>
        <v>0</v>
      </c>
      <c r="K410" s="55"/>
    </row>
    <row r="411" spans="1:11" ht="12.75" x14ac:dyDescent="0.2">
      <c r="A411" s="51" t="str">
        <f ca="1">'Landscape Trees '!A224</f>
        <v>Ulmus americana 'Valley Forge'</v>
      </c>
      <c r="B411" s="51" t="str">
        <f ca="1">'Landscape Trees '!C224</f>
        <v>Valley Forge Elm</v>
      </c>
      <c r="C411" s="42" t="str">
        <f ca="1">'Landscape Trees '!D224</f>
        <v>#15</v>
      </c>
      <c r="D411" s="42" t="str">
        <f ca="1">'Landscape Trees '!E224</f>
        <v>1-1.25"</v>
      </c>
      <c r="E411" s="42" t="str">
        <f ca="1">'Landscape Trees '!F224</f>
        <v>10-12'</v>
      </c>
      <c r="F411" s="52">
        <f ca="1">'Landscape Trees '!G224</f>
        <v>1</v>
      </c>
      <c r="G411" s="53">
        <f ca="1">'Landscape Trees '!H224</f>
        <v>135</v>
      </c>
      <c r="H411" s="51" t="str">
        <f t="shared" ca="1" si="3"/>
        <v>Valley Forge Elm #15</v>
      </c>
      <c r="I411" s="54"/>
      <c r="J411" s="55">
        <f t="shared" ca="1" si="2"/>
        <v>0</v>
      </c>
      <c r="K411" s="55"/>
    </row>
    <row r="412" spans="1:11" ht="12.75" x14ac:dyDescent="0.2">
      <c r="A412" s="51" t="str">
        <f ca="1">'Landscape Trees '!A225</f>
        <v>Viburnum dentatum</v>
      </c>
      <c r="B412" s="51" t="str">
        <f ca="1">'Landscape Trees '!C225</f>
        <v>Arrowwood Viburnum</v>
      </c>
      <c r="C412" s="42" t="str">
        <f ca="1">'Landscape Trees '!D225</f>
        <v>#5</v>
      </c>
      <c r="D412" s="42" t="str">
        <f ca="1">'Landscape Trees '!E225</f>
        <v>Multi</v>
      </c>
      <c r="E412" s="42" t="str">
        <f ca="1">'Landscape Trees '!F225</f>
        <v>2-5'</v>
      </c>
      <c r="F412" s="52">
        <f ca="1">'Landscape Trees '!G225</f>
        <v>36</v>
      </c>
      <c r="G412" s="53">
        <f ca="1">'Landscape Trees '!H225</f>
        <v>37</v>
      </c>
      <c r="H412" s="51" t="str">
        <f t="shared" ca="1" si="3"/>
        <v>Arrowwood Viburnum #5</v>
      </c>
      <c r="I412" s="54"/>
      <c r="J412" s="55">
        <f t="shared" ca="1" si="2"/>
        <v>0</v>
      </c>
      <c r="K412" s="55"/>
    </row>
    <row r="413" spans="1:11" ht="12.75" x14ac:dyDescent="0.2">
      <c r="A413" s="51" t="str">
        <f ca="1">'Landscape Trees '!A226</f>
        <v>Viburnum trilobum</v>
      </c>
      <c r="B413" s="51" t="str">
        <f ca="1">'Landscape Trees '!C226</f>
        <v>Cranberry Viburnum</v>
      </c>
      <c r="C413" s="42" t="str">
        <f ca="1">'Landscape Trees '!D226</f>
        <v>#5</v>
      </c>
      <c r="D413" s="42" t="str">
        <f ca="1">'Landscape Trees '!E226</f>
        <v>Multi</v>
      </c>
      <c r="E413" s="42" t="str">
        <f ca="1">'Landscape Trees '!F226</f>
        <v>2-4'</v>
      </c>
      <c r="F413" s="52">
        <f ca="1">'Landscape Trees '!G226</f>
        <v>75</v>
      </c>
      <c r="G413" s="53">
        <f ca="1">'Landscape Trees '!H226</f>
        <v>37</v>
      </c>
      <c r="H413" s="51" t="str">
        <f t="shared" ca="1" si="3"/>
        <v>Cranberry Viburnum #5</v>
      </c>
      <c r="I413" s="54"/>
      <c r="J413" s="55">
        <f t="shared" ca="1" si="2"/>
        <v>0</v>
      </c>
      <c r="K413" s="55"/>
    </row>
    <row r="414" spans="1:11" ht="12.75" x14ac:dyDescent="0.2">
      <c r="A414" s="51" t="str">
        <f ca="1">'Landscape Trees '!A227</f>
        <v>X Gordlinia grandiflora</v>
      </c>
      <c r="B414" s="51" t="str">
        <f ca="1">'Landscape Trees '!C227</f>
        <v>Gordlinia</v>
      </c>
      <c r="C414" s="42" t="str">
        <f ca="1">'Landscape Trees '!D227</f>
        <v>#5</v>
      </c>
      <c r="D414" s="42" t="str">
        <f ca="1">'Landscape Trees '!E227</f>
        <v>0.25-1"</v>
      </c>
      <c r="E414" s="42" t="str">
        <f ca="1">'Landscape Trees '!F227</f>
        <v>2-6.5'</v>
      </c>
      <c r="F414" s="52">
        <f ca="1">'Landscape Trees '!G227</f>
        <v>1</v>
      </c>
      <c r="G414" s="53">
        <f ca="1">'Landscape Trees '!H227</f>
        <v>70</v>
      </c>
      <c r="H414" s="51" t="str">
        <f t="shared" ca="1" si="3"/>
        <v>Gordlinia #5</v>
      </c>
      <c r="I414" s="54"/>
      <c r="J414" s="55">
        <f t="shared" ca="1" si="2"/>
        <v>0</v>
      </c>
      <c r="K414" s="55"/>
    </row>
    <row r="415" spans="1:11" ht="12.75" x14ac:dyDescent="0.2">
      <c r="A415" s="51" t="str">
        <f ca="1">'Landscape Trees '!A228</f>
        <v>X Gordlinia grandiflora</v>
      </c>
      <c r="B415" s="51" t="str">
        <f ca="1">'Landscape Trees '!C228</f>
        <v>Gordlinia</v>
      </c>
      <c r="C415" s="42" t="str">
        <f ca="1">'Landscape Trees '!D228</f>
        <v>#5</v>
      </c>
      <c r="D415" s="42" t="str">
        <f ca="1">'Landscape Trees '!E228</f>
        <v>Multi</v>
      </c>
      <c r="E415" s="42" t="str">
        <f ca="1">'Landscape Trees '!F228</f>
        <v>2-6.5'</v>
      </c>
      <c r="F415" s="52">
        <f ca="1">'Landscape Trees '!G228</f>
        <v>3</v>
      </c>
      <c r="G415" s="53">
        <f ca="1">'Landscape Trees '!H228</f>
        <v>70</v>
      </c>
      <c r="H415" s="51" t="str">
        <f t="shared" ca="1" si="3"/>
        <v>Gordlinia #5</v>
      </c>
      <c r="I415" s="54"/>
      <c r="J415" s="55">
        <f t="shared" ca="1" si="2"/>
        <v>0</v>
      </c>
      <c r="K415" s="55"/>
    </row>
    <row r="416" spans="1:11" ht="12.75" x14ac:dyDescent="0.2">
      <c r="A416" s="51" t="str">
        <f ca="1">'Landscape Trees '!A229</f>
        <v>Zelkova serrata 'Green Vase'</v>
      </c>
      <c r="B416" s="51" t="str">
        <f ca="1">'Landscape Trees '!C229</f>
        <v>Green Vase Zelkova</v>
      </c>
      <c r="C416" s="42" t="str">
        <f ca="1">'Landscape Trees '!D229</f>
        <v>#15</v>
      </c>
      <c r="D416" s="42" t="str">
        <f ca="1">'Landscape Trees '!E229</f>
        <v>1.25-2.25"</v>
      </c>
      <c r="E416" s="42" t="str">
        <f ca="1">'Landscape Trees '!F229</f>
        <v>11-15'</v>
      </c>
      <c r="F416" s="52">
        <f ca="1">'Landscape Trees '!G229</f>
        <v>5</v>
      </c>
      <c r="G416" s="53">
        <f ca="1">'Landscape Trees '!H229</f>
        <v>135</v>
      </c>
      <c r="H416" s="51" t="str">
        <f t="shared" ca="1" si="3"/>
        <v>Green Vase Zelkova #15</v>
      </c>
      <c r="I416" s="54"/>
      <c r="J416" s="55">
        <f t="shared" ca="1" si="2"/>
        <v>0</v>
      </c>
      <c r="K416" s="55"/>
    </row>
    <row r="417" spans="1:11" ht="12.75" x14ac:dyDescent="0.2">
      <c r="A417" s="51" t="str">
        <f ca="1">'Landscape Trees '!A230</f>
        <v>Zelkova serrata 'Village Green'</v>
      </c>
      <c r="B417" s="51" t="str">
        <f ca="1">'Landscape Trees '!C230</f>
        <v>Village Green Zelkova</v>
      </c>
      <c r="C417" s="42" t="str">
        <f ca="1">'Landscape Trees '!D230</f>
        <v>#10</v>
      </c>
      <c r="D417" s="42" t="str">
        <f ca="1">'Landscape Trees '!E230</f>
        <v>1.75-2"</v>
      </c>
      <c r="E417" s="42" t="str">
        <f ca="1">'Landscape Trees '!F230</f>
        <v>7-8'</v>
      </c>
      <c r="F417" s="52">
        <f ca="1">'Landscape Trees '!G230</f>
        <v>2</v>
      </c>
      <c r="G417" s="53">
        <f ca="1">'Landscape Trees '!H230</f>
        <v>100</v>
      </c>
      <c r="H417" s="51" t="str">
        <f t="shared" ca="1" si="3"/>
        <v>Village Green Zelkova #10</v>
      </c>
      <c r="I417" s="54"/>
      <c r="J417" s="55">
        <f t="shared" ca="1" si="2"/>
        <v>0</v>
      </c>
      <c r="K417" s="55"/>
    </row>
    <row r="418" spans="1:11" ht="12.75" x14ac:dyDescent="0.2">
      <c r="A418" s="51" t="str">
        <f ca="1">'Landscape Trees '!A231</f>
        <v>Zelkova serrata 'Village Green'</v>
      </c>
      <c r="B418" s="51" t="str">
        <f ca="1">'Landscape Trees '!C231</f>
        <v>Village Green Zelkova</v>
      </c>
      <c r="C418" s="42" t="str">
        <f ca="1">'Landscape Trees '!D231</f>
        <v>#15</v>
      </c>
      <c r="D418" s="42" t="str">
        <f ca="1">'Landscape Trees '!E231</f>
        <v>2-2"</v>
      </c>
      <c r="E418" s="42" t="str">
        <f ca="1">'Landscape Trees '!F231</f>
        <v>11-11'</v>
      </c>
      <c r="F418" s="52">
        <f ca="1">'Landscape Trees '!G231</f>
        <v>1</v>
      </c>
      <c r="G418" s="53">
        <f ca="1">'Landscape Trees '!H231</f>
        <v>135</v>
      </c>
      <c r="H418" s="51" t="str">
        <f t="shared" ca="1" si="3"/>
        <v>Village Green Zelkova #15</v>
      </c>
      <c r="I418" s="54"/>
      <c r="J418" s="55">
        <f t="shared" ca="1" si="2"/>
        <v>0</v>
      </c>
      <c r="K418" s="55"/>
    </row>
    <row r="419" spans="1:11" ht="12.75" x14ac:dyDescent="0.2">
      <c r="A419" s="51" t="str">
        <f ca="1">'Landscape Trees '!A232</f>
        <v>zx - 1.5"x1.5"x6' Stakes</v>
      </c>
      <c r="B419" s="51" t="str">
        <f ca="1">'Landscape Trees '!C232</f>
        <v>zx - 1.5"x1.5"x6' Stakes</v>
      </c>
      <c r="C419" s="42">
        <f>'Landscape Trees '!D232</f>
        <v>0</v>
      </c>
      <c r="D419" s="42" t="str">
        <f ca="1">'Landscape Trees '!E232</f>
        <v>0-0"</v>
      </c>
      <c r="E419" s="42" t="str">
        <f ca="1">'Landscape Trees '!F232</f>
        <v>0-0'</v>
      </c>
      <c r="F419" s="52">
        <f ca="1">'Landscape Trees '!G232</f>
        <v>2408</v>
      </c>
      <c r="G419" s="53">
        <f ca="1">'Landscape Trees '!H232</f>
        <v>3</v>
      </c>
      <c r="H419" s="51" t="str">
        <f t="shared" ca="1" si="3"/>
        <v>zx - 1.5"x1.5"x6' Stakes 0</v>
      </c>
      <c r="I419" s="54"/>
      <c r="J419" s="55">
        <f t="shared" ca="1" si="2"/>
        <v>0</v>
      </c>
      <c r="K419" s="55"/>
    </row>
    <row r="420" spans="1:11" ht="12.75" x14ac:dyDescent="0.2">
      <c r="A420" s="51" t="str">
        <f ca="1">'Landscape Trees '!A233</f>
        <v>zx - 4' Bark Protector</v>
      </c>
      <c r="B420" s="51" t="str">
        <f ca="1">'Landscape Trees '!C233</f>
        <v>zx - 4' Bark Protector</v>
      </c>
      <c r="C420" s="42">
        <f>'Landscape Trees '!D233</f>
        <v>0</v>
      </c>
      <c r="D420" s="42" t="str">
        <f ca="1">'Landscape Trees '!E233</f>
        <v>0-0"</v>
      </c>
      <c r="E420" s="42" t="str">
        <f ca="1">'Landscape Trees '!F233</f>
        <v>0-0'</v>
      </c>
      <c r="F420" s="52">
        <f ca="1">'Landscape Trees '!G233</f>
        <v>745</v>
      </c>
      <c r="G420" s="53">
        <f ca="1">'Landscape Trees '!H233</f>
        <v>10</v>
      </c>
      <c r="H420" s="51" t="str">
        <f t="shared" ca="1" si="3"/>
        <v>zx - 4' Bark Protector 0</v>
      </c>
      <c r="I420" s="54"/>
      <c r="J420" s="55">
        <f t="shared" ca="1" si="2"/>
        <v>0</v>
      </c>
      <c r="K420" s="55"/>
    </row>
    <row r="421" spans="1:11" ht="12.75" x14ac:dyDescent="0.2">
      <c r="A421" s="51" t="str">
        <f ca="1">'Landscape Trees '!A234</f>
        <v>zx - Felco #2 Pruners</v>
      </c>
      <c r="B421" s="51" t="str">
        <f ca="1">'Landscape Trees '!C234</f>
        <v>zx - Felco #2 Pruners</v>
      </c>
      <c r="C421" s="42">
        <f>'Landscape Trees '!D234</f>
        <v>0</v>
      </c>
      <c r="D421" s="42" t="str">
        <f ca="1">'Landscape Trees '!E234</f>
        <v>0-0"</v>
      </c>
      <c r="E421" s="42" t="str">
        <f ca="1">'Landscape Trees '!F234</f>
        <v>0-0'</v>
      </c>
      <c r="F421" s="52">
        <f ca="1">'Landscape Trees '!G234</f>
        <v>49</v>
      </c>
      <c r="G421" s="53">
        <f ca="1">'Landscape Trees '!H234</f>
        <v>65</v>
      </c>
      <c r="H421" s="51" t="str">
        <f t="shared" ca="1" si="3"/>
        <v>zx - Felco #2 Pruners 0</v>
      </c>
      <c r="I421" s="54"/>
      <c r="J421" s="55">
        <f t="shared" ca="1" si="2"/>
        <v>0</v>
      </c>
      <c r="K421" s="55"/>
    </row>
    <row r="422" spans="1:11" ht="12.75" x14ac:dyDescent="0.2">
      <c r="A422" s="51" t="str">
        <f ca="1">'Landscape Trees '!A235</f>
        <v>zx - Shade Tarp</v>
      </c>
      <c r="B422" s="51" t="str">
        <f ca="1">'Landscape Trees '!C235</f>
        <v>zx -Shade Tarp</v>
      </c>
      <c r="C422" s="42">
        <f>'Landscape Trees '!D235</f>
        <v>0</v>
      </c>
      <c r="D422" s="42" t="str">
        <f ca="1">'Landscape Trees '!E235</f>
        <v>0-0"</v>
      </c>
      <c r="E422" s="42" t="str">
        <f ca="1">'Landscape Trees '!F235</f>
        <v>0-0'</v>
      </c>
      <c r="F422" s="52">
        <f ca="1">'Landscape Trees '!G235</f>
        <v>49</v>
      </c>
      <c r="G422" s="53">
        <f ca="1">'Landscape Trees '!H235</f>
        <v>30</v>
      </c>
      <c r="H422" s="51" t="str">
        <f t="shared" ca="1" si="3"/>
        <v>zx -Shade Tarp 0</v>
      </c>
      <c r="I422" s="54"/>
      <c r="J422" s="55">
        <f t="shared" ca="1" si="2"/>
        <v>0</v>
      </c>
      <c r="K422" s="55"/>
    </row>
    <row r="423" spans="1:11" ht="12.75" x14ac:dyDescent="0.2">
      <c r="A423" s="51" t="str">
        <f ca="1">'Landscape Trees '!A236</f>
        <v>zx - Tree Diaper (for #10-#25)</v>
      </c>
      <c r="B423" s="51" t="str">
        <f ca="1">'Landscape Trees '!C236</f>
        <v>zx - Tree Diaper (for #10-#25)</v>
      </c>
      <c r="C423" s="42">
        <f>'Landscape Trees '!D236</f>
        <v>0</v>
      </c>
      <c r="D423" s="42" t="str">
        <f ca="1">'Landscape Trees '!E236</f>
        <v>0-0"</v>
      </c>
      <c r="E423" s="42" t="str">
        <f ca="1">'Landscape Trees '!F236</f>
        <v>0-0'</v>
      </c>
      <c r="F423" s="52">
        <f ca="1">'Landscape Trees '!G236</f>
        <v>91</v>
      </c>
      <c r="G423" s="53">
        <f ca="1">'Landscape Trees '!H236</f>
        <v>40</v>
      </c>
      <c r="H423" s="51" t="str">
        <f t="shared" ca="1" si="3"/>
        <v>zx - Tree Diaper (for #10-#25) 0</v>
      </c>
      <c r="I423" s="54"/>
      <c r="J423" s="55">
        <f t="shared" ca="1" si="2"/>
        <v>0</v>
      </c>
      <c r="K423" s="55"/>
    </row>
    <row r="424" spans="1:11" ht="12.75" x14ac:dyDescent="0.2">
      <c r="A424" s="51" t="str">
        <f ca="1">'Landscape Trees '!A237</f>
        <v>zx -Cages</v>
      </c>
      <c r="B424" s="51" t="str">
        <f ca="1">'Landscape Trees '!C237</f>
        <v>zx -Cages</v>
      </c>
      <c r="C424" s="42">
        <f>'Landscape Trees '!D237</f>
        <v>0</v>
      </c>
      <c r="D424" s="42" t="str">
        <f ca="1">'Landscape Trees '!E237</f>
        <v>0-0"</v>
      </c>
      <c r="E424" s="42" t="str">
        <f ca="1">'Landscape Trees '!F237</f>
        <v>0-0'</v>
      </c>
      <c r="F424" s="52">
        <f ca="1">'Landscape Trees '!G237</f>
        <v>934</v>
      </c>
      <c r="G424" s="53">
        <f ca="1">'Landscape Trees '!H237</f>
        <v>45</v>
      </c>
      <c r="H424" s="51" t="str">
        <f t="shared" ca="1" si="3"/>
        <v>zx -Cages 0</v>
      </c>
      <c r="I424" s="54"/>
      <c r="J424" s="55">
        <f t="shared" ca="1" si="2"/>
        <v>0</v>
      </c>
      <c r="K424" s="55"/>
    </row>
    <row r="425" spans="1:11" ht="12.75" x14ac:dyDescent="0.2">
      <c r="A425" s="51">
        <f>'Landscape Trees '!A238</f>
        <v>0</v>
      </c>
      <c r="B425" s="51">
        <f>'Landscape Trees '!C238</f>
        <v>0</v>
      </c>
      <c r="C425" s="42">
        <f>'Landscape Trees '!D238</f>
        <v>0</v>
      </c>
      <c r="D425" s="42">
        <f>'Landscape Trees '!E238</f>
        <v>0</v>
      </c>
      <c r="E425" s="42">
        <f>'Landscape Trees '!F238</f>
        <v>0</v>
      </c>
      <c r="F425" s="42">
        <f>'Landscape Trees '!G238</f>
        <v>0</v>
      </c>
      <c r="G425" s="42">
        <f>'Landscape Trees '!H238</f>
        <v>0</v>
      </c>
      <c r="H425" s="51" t="str">
        <f t="shared" si="3"/>
        <v>0 0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'!A239</f>
        <v>0</v>
      </c>
      <c r="B426" s="51">
        <f>'Landscape Trees '!C239</f>
        <v>0</v>
      </c>
      <c r="C426" s="42">
        <f>'Landscape Trees '!D239</f>
        <v>0</v>
      </c>
      <c r="D426" s="42">
        <f>'Landscape Trees '!E239</f>
        <v>0</v>
      </c>
      <c r="E426" s="42">
        <f>'Landscape Trees '!F239</f>
        <v>0</v>
      </c>
      <c r="F426" s="42">
        <f>'Landscape Trees '!G239</f>
        <v>0</v>
      </c>
      <c r="G426" s="42">
        <f>'Landscape Trees '!H239</f>
        <v>0</v>
      </c>
      <c r="H426" s="51" t="str">
        <f t="shared" si="3"/>
        <v>0 0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'!A240</f>
        <v>0</v>
      </c>
      <c r="B427" s="51">
        <f>'Landscape Trees '!C240</f>
        <v>0</v>
      </c>
      <c r="C427" s="42">
        <f>'Landscape Trees '!D240</f>
        <v>0</v>
      </c>
      <c r="D427" s="42">
        <f>'Landscape Trees '!E240</f>
        <v>0</v>
      </c>
      <c r="E427" s="42">
        <f>'Landscape Trees '!F240</f>
        <v>0</v>
      </c>
      <c r="F427" s="42">
        <f>'Landscape Trees '!G240</f>
        <v>0</v>
      </c>
      <c r="G427" s="42">
        <f>'Landscape Trees '!H240</f>
        <v>0</v>
      </c>
      <c r="H427" s="51" t="str">
        <f t="shared" si="3"/>
        <v>0 0</v>
      </c>
      <c r="I427" s="54"/>
      <c r="J427" s="55">
        <f t="shared" si="2"/>
        <v>0</v>
      </c>
      <c r="K427" s="55"/>
    </row>
    <row r="428" spans="1:11" ht="12.75" x14ac:dyDescent="0.2">
      <c r="A428" s="51">
        <f>'Landscape Trees '!A241</f>
        <v>0</v>
      </c>
      <c r="B428" s="51">
        <f>'Landscape Trees '!C241</f>
        <v>0</v>
      </c>
      <c r="C428" s="42">
        <f>'Landscape Trees '!D241</f>
        <v>0</v>
      </c>
      <c r="D428" s="42">
        <f>'Landscape Trees '!E241</f>
        <v>0</v>
      </c>
      <c r="E428" s="42">
        <f>'Landscape Trees '!F241</f>
        <v>0</v>
      </c>
      <c r="F428" s="42">
        <f>'Landscape Trees '!G241</f>
        <v>0</v>
      </c>
      <c r="G428" s="42">
        <f>'Landscape Trees '!H241</f>
        <v>0</v>
      </c>
      <c r="H428" s="51" t="str">
        <f t="shared" si="3"/>
        <v>0 0</v>
      </c>
      <c r="I428" s="54"/>
      <c r="J428" s="55">
        <f t="shared" si="2"/>
        <v>0</v>
      </c>
      <c r="K428" s="55"/>
    </row>
    <row r="429" spans="1:11" ht="12.75" x14ac:dyDescent="0.2">
      <c r="A429" s="51">
        <f>'Landscape Trees '!A242</f>
        <v>0</v>
      </c>
      <c r="B429" s="51">
        <f>'Landscape Trees '!C242</f>
        <v>0</v>
      </c>
      <c r="C429" s="42">
        <f>'Landscape Trees '!D242</f>
        <v>0</v>
      </c>
      <c r="D429" s="42">
        <f>'Landscape Trees '!E242</f>
        <v>0</v>
      </c>
      <c r="E429" s="42">
        <f>'Landscape Trees '!F242</f>
        <v>0</v>
      </c>
      <c r="F429" s="42">
        <f>'Landscape Trees '!G242</f>
        <v>0</v>
      </c>
      <c r="G429" s="42">
        <f>'Landscape Trees '!H242</f>
        <v>0</v>
      </c>
      <c r="H429" s="51" t="str">
        <f t="shared" si="3"/>
        <v>0 0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'!A243</f>
        <v>0</v>
      </c>
      <c r="B430" s="51">
        <f>'Landscape Trees '!C243</f>
        <v>0</v>
      </c>
      <c r="C430" s="42">
        <f>'Landscape Trees '!D243</f>
        <v>0</v>
      </c>
      <c r="D430" s="42">
        <f>'Landscape Trees '!E243</f>
        <v>0</v>
      </c>
      <c r="E430" s="42">
        <f>'Landscape Trees '!F243</f>
        <v>0</v>
      </c>
      <c r="F430" s="42">
        <f>'Landscape Trees '!G243</f>
        <v>0</v>
      </c>
      <c r="G430" s="42">
        <f>'Landscape Trees '!H243</f>
        <v>0</v>
      </c>
      <c r="H430" s="51" t="str">
        <f t="shared" si="3"/>
        <v>0 0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'!A244</f>
        <v>0</v>
      </c>
      <c r="B431" s="51">
        <f>'Landscape Trees '!C244</f>
        <v>0</v>
      </c>
      <c r="C431" s="42">
        <f>'Landscape Trees '!D244</f>
        <v>0</v>
      </c>
      <c r="D431" s="42">
        <f>'Landscape Trees '!E244</f>
        <v>0</v>
      </c>
      <c r="E431" s="42">
        <f>'Landscape Trees '!F244</f>
        <v>0</v>
      </c>
      <c r="F431" s="42">
        <f>'Landscape Trees '!G244</f>
        <v>0</v>
      </c>
      <c r="G431" s="42">
        <f>'Landscape Trees '!H244</f>
        <v>0</v>
      </c>
      <c r="H431" s="51" t="str">
        <f t="shared" si="3"/>
        <v>0 0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'!A245</f>
        <v>0</v>
      </c>
      <c r="B432" s="51">
        <f>'Landscape Trees '!C245</f>
        <v>0</v>
      </c>
      <c r="C432" s="42">
        <f>'Landscape Trees '!D245</f>
        <v>0</v>
      </c>
      <c r="D432" s="42">
        <f>'Landscape Trees '!E245</f>
        <v>0</v>
      </c>
      <c r="E432" s="42">
        <f>'Landscape Trees '!F245</f>
        <v>0</v>
      </c>
      <c r="F432" s="42">
        <f>'Landscape Trees '!G245</f>
        <v>0</v>
      </c>
      <c r="G432" s="42">
        <f>'Landscape Trees '!H245</f>
        <v>0</v>
      </c>
      <c r="H432" s="51" t="str">
        <f t="shared" si="3"/>
        <v>0 0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'!A246</f>
        <v>0</v>
      </c>
      <c r="B433" s="51">
        <f>'Landscape Trees '!C246</f>
        <v>0</v>
      </c>
      <c r="C433" s="42">
        <f>'Landscape Trees '!D246</f>
        <v>0</v>
      </c>
      <c r="D433" s="42">
        <f>'Landscape Trees '!E246</f>
        <v>0</v>
      </c>
      <c r="E433" s="42">
        <f>'Landscape Trees '!F246</f>
        <v>0</v>
      </c>
      <c r="F433" s="42">
        <f>'Landscape Trees '!G246</f>
        <v>0</v>
      </c>
      <c r="G433" s="42">
        <f>'Landscape Trees '!H246</f>
        <v>0</v>
      </c>
      <c r="H433" s="51" t="str">
        <f t="shared" si="3"/>
        <v>0 0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'!A247</f>
        <v>0</v>
      </c>
      <c r="B434" s="51">
        <f>'Landscape Trees '!C247</f>
        <v>0</v>
      </c>
      <c r="C434" s="42">
        <f>'Landscape Trees '!D247</f>
        <v>0</v>
      </c>
      <c r="D434" s="42">
        <f>'Landscape Trees '!E247</f>
        <v>0</v>
      </c>
      <c r="E434" s="42">
        <f>'Landscape Trees '!F247</f>
        <v>0</v>
      </c>
      <c r="F434" s="42">
        <f>'Landscape Trees '!G247</f>
        <v>0</v>
      </c>
      <c r="G434" s="42">
        <f>'Landscape Trees '!H247</f>
        <v>0</v>
      </c>
      <c r="H434" s="51" t="str">
        <f t="shared" si="3"/>
        <v>0 0</v>
      </c>
      <c r="I434" s="54"/>
      <c r="J434" s="55">
        <f t="shared" si="2"/>
        <v>0</v>
      </c>
      <c r="K434" s="55"/>
    </row>
    <row r="435" spans="1:11" ht="12.75" x14ac:dyDescent="0.2">
      <c r="A435" s="51">
        <f>'Landscape Trees '!A248</f>
        <v>0</v>
      </c>
      <c r="B435" s="51">
        <f>'Landscape Trees '!C248</f>
        <v>0</v>
      </c>
      <c r="C435" s="42">
        <f>'Landscape Trees '!D248</f>
        <v>0</v>
      </c>
      <c r="D435" s="42">
        <f>'Landscape Trees '!E248</f>
        <v>0</v>
      </c>
      <c r="E435" s="42">
        <f>'Landscape Trees '!F248</f>
        <v>0</v>
      </c>
      <c r="F435" s="42">
        <f>'Landscape Trees '!G248</f>
        <v>0</v>
      </c>
      <c r="G435" s="42">
        <f>'Landscape Trees '!H248</f>
        <v>0</v>
      </c>
      <c r="H435" s="51" t="str">
        <f t="shared" si="3"/>
        <v>0 0</v>
      </c>
      <c r="I435" s="54"/>
      <c r="J435" s="55">
        <f t="shared" si="2"/>
        <v>0</v>
      </c>
      <c r="K435" s="55"/>
    </row>
    <row r="436" spans="1:11" ht="12.75" x14ac:dyDescent="0.2">
      <c r="A436" s="51">
        <f>'Landscape Trees '!A249</f>
        <v>0</v>
      </c>
      <c r="B436" s="51">
        <f>'Landscape Trees '!C249</f>
        <v>0</v>
      </c>
      <c r="C436" s="42">
        <f>'Landscape Trees '!D249</f>
        <v>0</v>
      </c>
      <c r="D436" s="42">
        <f>'Landscape Trees '!E249</f>
        <v>0</v>
      </c>
      <c r="E436" s="42">
        <f>'Landscape Trees '!F249</f>
        <v>0</v>
      </c>
      <c r="F436" s="42">
        <f>'Landscape Trees '!G249</f>
        <v>0</v>
      </c>
      <c r="G436" s="42">
        <f>'Landscape Trees '!H249</f>
        <v>0</v>
      </c>
      <c r="H436" s="51" t="str">
        <f t="shared" si="3"/>
        <v>0 0</v>
      </c>
      <c r="I436" s="54"/>
      <c r="J436" s="55">
        <f t="shared" si="2"/>
        <v>0</v>
      </c>
      <c r="K436" s="55"/>
    </row>
    <row r="437" spans="1:11" ht="12.75" x14ac:dyDescent="0.2">
      <c r="A437" s="51">
        <f>'Landscape Trees '!A250</f>
        <v>0</v>
      </c>
      <c r="B437" s="51">
        <f>'Landscape Trees '!C250</f>
        <v>0</v>
      </c>
      <c r="C437" s="42">
        <f>'Landscape Trees '!D250</f>
        <v>0</v>
      </c>
      <c r="D437" s="42">
        <f>'Landscape Trees '!E250</f>
        <v>0</v>
      </c>
      <c r="E437" s="42">
        <f>'Landscape Trees '!F250</f>
        <v>0</v>
      </c>
      <c r="F437" s="42">
        <f>'Landscape Trees '!G250</f>
        <v>0</v>
      </c>
      <c r="G437" s="42">
        <f>'Landscape Trees '!H250</f>
        <v>0</v>
      </c>
      <c r="H437" s="51" t="str">
        <f t="shared" si="3"/>
        <v>0 0</v>
      </c>
      <c r="I437" s="54"/>
      <c r="J437" s="55">
        <f t="shared" si="2"/>
        <v>0</v>
      </c>
      <c r="K437" s="55"/>
    </row>
    <row r="438" spans="1:11" ht="12.75" x14ac:dyDescent="0.2">
      <c r="A438" s="51">
        <f>'Landscape Trees '!A251</f>
        <v>0</v>
      </c>
      <c r="B438" s="51">
        <f>'Landscape Trees '!C251</f>
        <v>0</v>
      </c>
      <c r="C438" s="42">
        <f>'Landscape Trees '!D251</f>
        <v>0</v>
      </c>
      <c r="D438" s="42">
        <f>'Landscape Trees '!E251</f>
        <v>0</v>
      </c>
      <c r="E438" s="42">
        <f>'Landscape Trees '!F251</f>
        <v>0</v>
      </c>
      <c r="F438" s="42">
        <f>'Landscape Trees '!G251</f>
        <v>0</v>
      </c>
      <c r="G438" s="42">
        <f>'Landscape Trees '!H251</f>
        <v>0</v>
      </c>
      <c r="H438" s="51" t="str">
        <f t="shared" si="3"/>
        <v>0 0</v>
      </c>
      <c r="I438" s="54"/>
      <c r="J438" s="55">
        <f t="shared" si="2"/>
        <v>0</v>
      </c>
      <c r="K438" s="55"/>
    </row>
    <row r="439" spans="1:11" ht="12.75" x14ac:dyDescent="0.2">
      <c r="A439" s="51">
        <f>'Landscape Trees '!A252</f>
        <v>0</v>
      </c>
      <c r="B439" s="51">
        <f>'Landscape Trees '!C252</f>
        <v>0</v>
      </c>
      <c r="C439" s="42">
        <f>'Landscape Trees '!D252</f>
        <v>0</v>
      </c>
      <c r="D439" s="42">
        <f>'Landscape Trees '!E252</f>
        <v>0</v>
      </c>
      <c r="E439" s="42">
        <f>'Landscape Trees '!F252</f>
        <v>0</v>
      </c>
      <c r="F439" s="42">
        <f>'Landscape Trees '!G252</f>
        <v>0</v>
      </c>
      <c r="G439" s="42">
        <f>'Landscape Trees '!H252</f>
        <v>0</v>
      </c>
      <c r="H439" s="51" t="str">
        <f t="shared" si="3"/>
        <v>0 0</v>
      </c>
      <c r="I439" s="54"/>
      <c r="J439" s="55">
        <f t="shared" si="2"/>
        <v>0</v>
      </c>
      <c r="K439" s="55"/>
    </row>
    <row r="440" spans="1:11" ht="12.75" x14ac:dyDescent="0.2">
      <c r="A440" s="51">
        <f>'Landscape Trees '!A253</f>
        <v>0</v>
      </c>
      <c r="B440" s="51">
        <f>'Landscape Trees '!C253</f>
        <v>0</v>
      </c>
      <c r="C440" s="42">
        <f>'Landscape Trees '!D253</f>
        <v>0</v>
      </c>
      <c r="D440" s="42">
        <f>'Landscape Trees '!E253</f>
        <v>0</v>
      </c>
      <c r="E440" s="42">
        <f>'Landscape Trees '!F253</f>
        <v>0</v>
      </c>
      <c r="F440" s="42">
        <f>'Landscape Trees '!G253</f>
        <v>0</v>
      </c>
      <c r="G440" s="42">
        <f>'Landscape Trees '!H253</f>
        <v>0</v>
      </c>
      <c r="H440" s="51" t="str">
        <f t="shared" si="3"/>
        <v>0 0</v>
      </c>
      <c r="I440" s="54"/>
      <c r="J440" s="55">
        <f t="shared" si="2"/>
        <v>0</v>
      </c>
      <c r="K440" s="55"/>
    </row>
    <row r="441" spans="1:11" ht="12.75" x14ac:dyDescent="0.2">
      <c r="A441" s="51">
        <f>'Landscape Trees '!A254</f>
        <v>0</v>
      </c>
      <c r="B441" s="51">
        <f>'Landscape Trees '!C254</f>
        <v>0</v>
      </c>
      <c r="C441" s="42">
        <f>'Landscape Trees '!D254</f>
        <v>0</v>
      </c>
      <c r="D441" s="42">
        <f>'Landscape Trees '!E254</f>
        <v>0</v>
      </c>
      <c r="E441" s="42">
        <f>'Landscape Trees '!F254</f>
        <v>0</v>
      </c>
      <c r="F441" s="42">
        <f>'Landscape Trees '!G254</f>
        <v>0</v>
      </c>
      <c r="G441" s="42">
        <f>'Landscape Trees '!H254</f>
        <v>0</v>
      </c>
      <c r="H441" s="51" t="str">
        <f t="shared" si="3"/>
        <v>0 0</v>
      </c>
      <c r="I441" s="54"/>
      <c r="J441" s="55">
        <f t="shared" si="2"/>
        <v>0</v>
      </c>
      <c r="K441" s="55"/>
    </row>
    <row r="442" spans="1:11" ht="12.75" x14ac:dyDescent="0.2">
      <c r="A442" s="51">
        <f>'Landscape Trees '!A255</f>
        <v>0</v>
      </c>
      <c r="B442" s="51">
        <f>'Landscape Trees '!C255</f>
        <v>0</v>
      </c>
      <c r="C442" s="42">
        <f>'Landscape Trees '!D255</f>
        <v>0</v>
      </c>
      <c r="D442" s="42">
        <f>'Landscape Trees '!E255</f>
        <v>0</v>
      </c>
      <c r="E442" s="42">
        <f>'Landscape Trees '!F255</f>
        <v>0</v>
      </c>
      <c r="F442" s="42">
        <f>'Landscape Trees '!G255</f>
        <v>0</v>
      </c>
      <c r="G442" s="42">
        <f>'Landscape Trees '!H255</f>
        <v>0</v>
      </c>
      <c r="H442" s="51" t="str">
        <f t="shared" si="3"/>
        <v>0 0</v>
      </c>
      <c r="I442" s="54"/>
      <c r="J442" s="55">
        <f t="shared" si="2"/>
        <v>0</v>
      </c>
      <c r="K442" s="55"/>
    </row>
    <row r="443" spans="1:11" ht="12.75" x14ac:dyDescent="0.2">
      <c r="A443" s="51">
        <f>'Landscape Trees '!A256</f>
        <v>0</v>
      </c>
      <c r="B443" s="51">
        <f>'Landscape Trees '!C256</f>
        <v>0</v>
      </c>
      <c r="C443" s="42">
        <f>'Landscape Trees '!D256</f>
        <v>0</v>
      </c>
      <c r="D443" s="42">
        <f>'Landscape Trees '!E256</f>
        <v>0</v>
      </c>
      <c r="E443" s="42">
        <f>'Landscape Trees '!F256</f>
        <v>0</v>
      </c>
      <c r="F443" s="42">
        <f>'Landscape Trees '!G256</f>
        <v>0</v>
      </c>
      <c r="G443" s="42">
        <f>'Landscape Trees '!H256</f>
        <v>0</v>
      </c>
      <c r="H443" s="51" t="str">
        <f t="shared" si="3"/>
        <v>0 0</v>
      </c>
      <c r="I443" s="54"/>
      <c r="J443" s="55">
        <f t="shared" si="2"/>
        <v>0</v>
      </c>
      <c r="K443" s="55"/>
    </row>
    <row r="444" spans="1:11" ht="12.75" x14ac:dyDescent="0.2">
      <c r="A444" s="51">
        <f>'Landscape Trees '!A257</f>
        <v>0</v>
      </c>
      <c r="B444" s="51">
        <f>'Landscape Trees '!C257</f>
        <v>0</v>
      </c>
      <c r="C444" s="42">
        <f>'Landscape Trees '!D257</f>
        <v>0</v>
      </c>
      <c r="D444" s="42">
        <f>'Landscape Trees '!E257</f>
        <v>0</v>
      </c>
      <c r="E444" s="42">
        <f>'Landscape Trees '!F257</f>
        <v>0</v>
      </c>
      <c r="F444" s="42">
        <f>'Landscape Trees '!G257</f>
        <v>0</v>
      </c>
      <c r="G444" s="42">
        <f>'Landscape Trees '!H257</f>
        <v>0</v>
      </c>
      <c r="H444" s="51" t="str">
        <f t="shared" si="3"/>
        <v>0 0</v>
      </c>
      <c r="I444" s="54"/>
      <c r="J444" s="55">
        <f t="shared" ref="J444:J453" si="4">I444*G444</f>
        <v>0</v>
      </c>
      <c r="K444" s="55"/>
    </row>
    <row r="445" spans="1:11" ht="12.75" x14ac:dyDescent="0.2">
      <c r="A445" s="51">
        <f>'Landscape Trees '!A258</f>
        <v>0</v>
      </c>
      <c r="B445" s="51">
        <f>'Landscape Trees '!C258</f>
        <v>0</v>
      </c>
      <c r="C445" s="42">
        <f>'Landscape Trees '!D258</f>
        <v>0</v>
      </c>
      <c r="D445" s="42">
        <f>'Landscape Trees '!E258</f>
        <v>0</v>
      </c>
      <c r="E445" s="42">
        <f>'Landscape Trees '!F258</f>
        <v>0</v>
      </c>
      <c r="F445" s="42">
        <f>'Landscape Trees '!G258</f>
        <v>0</v>
      </c>
      <c r="G445" s="42">
        <f>'Landscape Trees '!H258</f>
        <v>0</v>
      </c>
      <c r="H445" s="51" t="str">
        <f t="shared" si="3"/>
        <v>0 0</v>
      </c>
      <c r="I445" s="54"/>
      <c r="J445" s="55">
        <f t="shared" si="4"/>
        <v>0</v>
      </c>
      <c r="K445" s="55"/>
    </row>
    <row r="446" spans="1:11" ht="12.75" x14ac:dyDescent="0.2">
      <c r="A446" s="51">
        <f>'Landscape Trees '!A259</f>
        <v>0</v>
      </c>
      <c r="B446" s="51">
        <f>'Landscape Trees '!C259</f>
        <v>0</v>
      </c>
      <c r="C446" s="42">
        <f>'Landscape Trees '!D259</f>
        <v>0</v>
      </c>
      <c r="D446" s="42">
        <f>'Landscape Trees '!E259</f>
        <v>0</v>
      </c>
      <c r="E446" s="42">
        <f>'Landscape Trees '!F259</f>
        <v>0</v>
      </c>
      <c r="F446" s="42">
        <f>'Landscape Trees '!G259</f>
        <v>0</v>
      </c>
      <c r="G446" s="42">
        <f>'Landscape Trees '!H259</f>
        <v>0</v>
      </c>
      <c r="H446" s="51" t="str">
        <f t="shared" si="3"/>
        <v>0 0</v>
      </c>
      <c r="I446" s="54"/>
      <c r="J446" s="55">
        <f t="shared" si="4"/>
        <v>0</v>
      </c>
      <c r="K446" s="55"/>
    </row>
    <row r="447" spans="1:11" ht="12.75" x14ac:dyDescent="0.2">
      <c r="A447" s="51">
        <f>'Landscape Trees '!A260</f>
        <v>0</v>
      </c>
      <c r="B447" s="51">
        <f>'Landscape Trees '!C260</f>
        <v>0</v>
      </c>
      <c r="C447" s="42">
        <f>'Landscape Trees '!D260</f>
        <v>0</v>
      </c>
      <c r="D447" s="42">
        <f>'Landscape Trees '!E260</f>
        <v>0</v>
      </c>
      <c r="E447" s="42">
        <f>'Landscape Trees '!F260</f>
        <v>0</v>
      </c>
      <c r="F447" s="42">
        <f>'Landscape Trees '!G260</f>
        <v>0</v>
      </c>
      <c r="G447" s="42">
        <f>'Landscape Trees '!H260</f>
        <v>0</v>
      </c>
      <c r="H447" s="51" t="str">
        <f t="shared" si="3"/>
        <v>0 0</v>
      </c>
      <c r="I447" s="54"/>
      <c r="J447" s="55">
        <f t="shared" si="4"/>
        <v>0</v>
      </c>
      <c r="K447" s="55"/>
    </row>
    <row r="448" spans="1:11" ht="12.75" x14ac:dyDescent="0.2">
      <c r="A448" s="51">
        <f>'Landscape Trees '!A261</f>
        <v>0</v>
      </c>
      <c r="B448" s="51">
        <f>'Landscape Trees '!C261</f>
        <v>0</v>
      </c>
      <c r="C448" s="42">
        <f>'Landscape Trees '!D261</f>
        <v>0</v>
      </c>
      <c r="D448" s="42">
        <f>'Landscape Trees '!E261</f>
        <v>0</v>
      </c>
      <c r="E448" s="42">
        <f>'Landscape Trees '!F261</f>
        <v>0</v>
      </c>
      <c r="F448" s="42">
        <f>'Landscape Trees '!G261</f>
        <v>0</v>
      </c>
      <c r="G448" s="42">
        <f>'Landscape Trees '!H261</f>
        <v>0</v>
      </c>
      <c r="H448" s="51" t="str">
        <f t="shared" si="3"/>
        <v>0 0</v>
      </c>
      <c r="I448" s="54"/>
      <c r="J448" s="55">
        <f t="shared" si="4"/>
        <v>0</v>
      </c>
      <c r="K448" s="55"/>
    </row>
    <row r="449" spans="1:11" ht="12.75" x14ac:dyDescent="0.2">
      <c r="A449" s="51">
        <f>'Landscape Trees '!A262</f>
        <v>0</v>
      </c>
      <c r="B449" s="51">
        <f>'Landscape Trees '!C262</f>
        <v>0</v>
      </c>
      <c r="C449" s="42">
        <f>'Landscape Trees '!D262</f>
        <v>0</v>
      </c>
      <c r="D449" s="42">
        <f>'Landscape Trees '!E262</f>
        <v>0</v>
      </c>
      <c r="E449" s="42">
        <f>'Landscape Trees '!F262</f>
        <v>0</v>
      </c>
      <c r="F449" s="42">
        <f>'Landscape Trees '!G262</f>
        <v>0</v>
      </c>
      <c r="G449" s="42">
        <f>'Landscape Trees '!H262</f>
        <v>0</v>
      </c>
      <c r="H449" s="51" t="str">
        <f t="shared" si="3"/>
        <v>0 0</v>
      </c>
      <c r="I449" s="54"/>
      <c r="J449" s="55">
        <f t="shared" si="4"/>
        <v>0</v>
      </c>
      <c r="K449" s="55"/>
    </row>
    <row r="450" spans="1:11" ht="12.75" x14ac:dyDescent="0.2">
      <c r="A450" s="51">
        <f>'Landscape Trees '!A263</f>
        <v>0</v>
      </c>
      <c r="B450" s="51">
        <f>'Landscape Trees '!C263</f>
        <v>0</v>
      </c>
      <c r="C450" s="42">
        <f>'Landscape Trees '!D263</f>
        <v>0</v>
      </c>
      <c r="D450" s="42">
        <f>'Landscape Trees '!E263</f>
        <v>0</v>
      </c>
      <c r="E450" s="42">
        <f>'Landscape Trees '!F263</f>
        <v>0</v>
      </c>
      <c r="F450" s="42">
        <f>'Landscape Trees '!G263</f>
        <v>0</v>
      </c>
      <c r="G450" s="42">
        <f>'Landscape Trees '!H263</f>
        <v>0</v>
      </c>
      <c r="H450" s="51" t="str">
        <f t="shared" si="3"/>
        <v>0 0</v>
      </c>
      <c r="I450" s="54"/>
      <c r="J450" s="55">
        <f t="shared" si="4"/>
        <v>0</v>
      </c>
      <c r="K450" s="55"/>
    </row>
    <row r="451" spans="1:11" ht="12.75" x14ac:dyDescent="0.2">
      <c r="A451" s="51">
        <f>'Landscape Trees '!A264</f>
        <v>0</v>
      </c>
      <c r="B451" s="51">
        <f>'Landscape Trees '!C264</f>
        <v>0</v>
      </c>
      <c r="C451" s="42">
        <f>'Landscape Trees '!D264</f>
        <v>0</v>
      </c>
      <c r="D451" s="42">
        <f>'Landscape Trees '!E264</f>
        <v>0</v>
      </c>
      <c r="E451" s="42">
        <f>'Landscape Trees '!F264</f>
        <v>0</v>
      </c>
      <c r="F451" s="42">
        <f>'Landscape Trees '!G264</f>
        <v>0</v>
      </c>
      <c r="G451" s="42">
        <f>'Landscape Trees '!H264</f>
        <v>0</v>
      </c>
      <c r="H451" s="51" t="str">
        <f t="shared" si="3"/>
        <v>0 0</v>
      </c>
      <c r="I451" s="54"/>
      <c r="J451" s="55">
        <f t="shared" si="4"/>
        <v>0</v>
      </c>
      <c r="K451" s="55"/>
    </row>
    <row r="452" spans="1:11" ht="12.75" x14ac:dyDescent="0.2">
      <c r="A452" s="51">
        <f>'Landscape Trees '!A265</f>
        <v>0</v>
      </c>
      <c r="B452" s="51">
        <f>'Landscape Trees '!C265</f>
        <v>0</v>
      </c>
      <c r="C452" s="42">
        <f>'Landscape Trees '!D265</f>
        <v>0</v>
      </c>
      <c r="D452" s="42">
        <f>'Landscape Trees '!E265</f>
        <v>0</v>
      </c>
      <c r="E452" s="42">
        <f>'Landscape Trees '!F265</f>
        <v>0</v>
      </c>
      <c r="F452" s="42">
        <f>'Landscape Trees '!G265</f>
        <v>0</v>
      </c>
      <c r="G452" s="42">
        <f>'Landscape Trees '!H265</f>
        <v>0</v>
      </c>
      <c r="H452" s="51" t="str">
        <f t="shared" si="3"/>
        <v>0 0</v>
      </c>
      <c r="I452" s="54"/>
      <c r="J452" s="55">
        <f t="shared" si="4"/>
        <v>0</v>
      </c>
      <c r="K452" s="55"/>
    </row>
    <row r="453" spans="1:11" ht="12.75" x14ac:dyDescent="0.2">
      <c r="A453" s="51">
        <f>'Landscape Trees '!A266</f>
        <v>0</v>
      </c>
      <c r="B453" s="51">
        <f>'Landscape Trees '!C266</f>
        <v>0</v>
      </c>
      <c r="C453" s="42">
        <f>'Landscape Trees '!D266</f>
        <v>0</v>
      </c>
      <c r="D453" s="42">
        <f>'Landscape Trees '!E266</f>
        <v>0</v>
      </c>
      <c r="E453" s="42">
        <f>'Landscape Trees '!F266</f>
        <v>0</v>
      </c>
      <c r="F453" s="42">
        <f>'Landscape Trees '!G266</f>
        <v>0</v>
      </c>
      <c r="G453" s="42">
        <f>'Landscape Trees '!H266</f>
        <v>0</v>
      </c>
      <c r="H453" s="51" t="str">
        <f t="shared" si="3"/>
        <v>0 0</v>
      </c>
      <c r="I453" s="54"/>
      <c r="J453" s="55">
        <f t="shared" si="4"/>
        <v>0</v>
      </c>
      <c r="K453" s="55"/>
    </row>
    <row r="454" spans="1:11" ht="12.75" x14ac:dyDescent="0.2">
      <c r="C454" s="42"/>
      <c r="D454" s="42"/>
      <c r="E454" s="42"/>
      <c r="F454" s="42"/>
      <c r="G454" s="42"/>
      <c r="J454" s="55"/>
      <c r="K454" s="55"/>
    </row>
    <row r="455" spans="1:11" ht="25.5" x14ac:dyDescent="0.2">
      <c r="C455" s="42"/>
      <c r="D455" s="42"/>
      <c r="E455" s="42"/>
      <c r="F455" s="42"/>
      <c r="G455" s="42"/>
      <c r="I455" s="60" t="s">
        <v>21</v>
      </c>
      <c r="J455" s="50">
        <f ca="1">SUM(J12:J186)</f>
        <v>0</v>
      </c>
      <c r="K455" s="55"/>
    </row>
    <row r="456" spans="1:11" ht="25.5" x14ac:dyDescent="0.2">
      <c r="C456" s="42"/>
      <c r="D456" s="42"/>
      <c r="E456" s="42"/>
      <c r="F456" s="42"/>
      <c r="G456" s="42"/>
      <c r="I456" s="60" t="s">
        <v>22</v>
      </c>
      <c r="J456" s="50">
        <f ca="1">SUM(J188:J455)</f>
        <v>0</v>
      </c>
      <c r="K456" s="50"/>
    </row>
    <row r="457" spans="1:11" ht="25.5" x14ac:dyDescent="0.2">
      <c r="C457" s="42"/>
      <c r="D457" s="42"/>
      <c r="E457" s="42"/>
      <c r="F457" s="42"/>
      <c r="G457" s="42"/>
      <c r="I457" s="60" t="s">
        <v>23</v>
      </c>
      <c r="J457" s="50">
        <f ca="1">J456+J180</f>
        <v>0</v>
      </c>
      <c r="K457" s="50"/>
    </row>
    <row r="458" spans="1:11" ht="12.75" x14ac:dyDescent="0.2">
      <c r="C458" s="42"/>
      <c r="D458" s="42"/>
      <c r="E458" s="42"/>
      <c r="F458" s="42"/>
      <c r="G458" s="42"/>
      <c r="J458" s="55"/>
      <c r="K458" s="55"/>
    </row>
    <row r="459" spans="1:11" ht="12.75" x14ac:dyDescent="0.2">
      <c r="C459" s="42"/>
      <c r="D459" s="42"/>
      <c r="E459" s="42"/>
      <c r="F459" s="42"/>
      <c r="G459" s="42"/>
      <c r="J459" s="55"/>
      <c r="K459" s="55"/>
    </row>
    <row r="460" spans="1:11" ht="12.75" x14ac:dyDescent="0.2">
      <c r="C460" s="42"/>
      <c r="D460" s="42"/>
      <c r="E460" s="42"/>
      <c r="F460" s="42"/>
      <c r="G460" s="42"/>
      <c r="J460" s="55"/>
      <c r="K460" s="55"/>
    </row>
  </sheetData>
  <sheetProtection sheet="1" objects="1" scenarios="1"/>
  <protectedRanges>
    <protectedRange sqref="I1:I1048576" name="Range2"/>
    <protectedRange sqref="A5:XFD5" name="Range1"/>
  </protectedRanges>
  <autoFilter ref="I1:I460" xr:uid="{00000000-0009-0000-0000-000000000000}"/>
  <customSheetViews>
    <customSheetView guid="{CACE497B-0C50-48E1-A33F-8BC29C370049}" filter="1" showAutoFilter="1">
      <pageMargins left="0.7" right="0.7" top="0.75" bottom="0.75" header="0.3" footer="0.3"/>
      <autoFilter ref="F3:F460" xr:uid="{DBB5F6B4-C4AF-43FC-8FBE-405AFC478090}">
        <filterColumn colId="0">
          <filters blank="1">
            <filter val="1"/>
            <filter val="1. Pick Up     2. Delivery    3. Delivery &amp; Planting"/>
            <filter val="10"/>
            <filter val="100"/>
            <filter val="103"/>
            <filter val="104"/>
            <filter val="109"/>
            <filter val="11"/>
            <filter val="112"/>
            <filter val="114"/>
            <filter val="116"/>
            <filter val="118"/>
            <filter val="119"/>
            <filter val="12"/>
            <filter val="120"/>
            <filter val="121"/>
            <filter val="123"/>
            <filter val="125"/>
            <filter val="128"/>
            <filter val="13"/>
            <filter val="130"/>
            <filter val="132"/>
            <filter val="138"/>
            <filter val="139"/>
            <filter val="14"/>
            <filter val="141"/>
            <filter val="143"/>
            <filter val="15"/>
            <filter val="151"/>
            <filter val="16"/>
            <filter val="161"/>
            <filter val="162"/>
            <filter val="163"/>
            <filter val="165"/>
            <filter val="17"/>
            <filter val="171"/>
            <filter val="172"/>
            <filter val="178"/>
            <filter val="18"/>
            <filter val="182"/>
            <filter val="187"/>
            <filter val="19"/>
            <filter val="194"/>
            <filter val="195"/>
            <filter val="196"/>
            <filter val="2"/>
            <filter val="2,408"/>
            <filter val="20"/>
            <filter val="203"/>
            <filter val="204"/>
            <filter val="209"/>
            <filter val="21"/>
            <filter val="212"/>
            <filter val="22"/>
            <filter val="222"/>
            <filter val="228"/>
            <filter val="23"/>
            <filter val="24"/>
            <filter val="244"/>
            <filter val="25"/>
            <filter val="256"/>
            <filter val="26"/>
            <filter val="27"/>
            <filter val="273"/>
            <filter val="28"/>
            <filter val="29"/>
            <filter val="3"/>
            <filter val="30"/>
            <filter val="31"/>
            <filter val="311"/>
            <filter val="313"/>
            <filter val="32"/>
            <filter val="324"/>
            <filter val="33"/>
            <filter val="34"/>
            <filter val="341"/>
            <filter val="35"/>
            <filter val="36"/>
            <filter val="37"/>
            <filter val="38"/>
            <filter val="39"/>
            <filter val="4"/>
            <filter val="40"/>
            <filter val="41"/>
            <filter val="42"/>
            <filter val="43"/>
            <filter val="44"/>
            <filter val="46"/>
            <filter val="48"/>
            <filter val="49"/>
            <filter val="5"/>
            <filter val="50"/>
            <filter val="51"/>
            <filter val="52"/>
            <filter val="53"/>
            <filter val="54"/>
            <filter val="55"/>
            <filter val="56"/>
            <filter val="58"/>
            <filter val="59"/>
            <filter val="6"/>
            <filter val="60"/>
            <filter val="62"/>
            <filter val="63"/>
            <filter val="64"/>
            <filter val="66"/>
            <filter val="67"/>
            <filter val="68"/>
            <filter val="7"/>
            <filter val="70"/>
            <filter val="72"/>
            <filter val="73"/>
            <filter val="745"/>
            <filter val="75"/>
            <filter val="8"/>
            <filter val="80"/>
            <filter val="81"/>
            <filter val="84"/>
            <filter val="86"/>
            <filter val="88"/>
            <filter val="9"/>
            <filter val="91"/>
            <filter val="92"/>
            <filter val="93"/>
            <filter val="934"/>
            <filter val="94"/>
            <filter val="99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89"/>
  <sheetViews>
    <sheetView workbookViewId="0"/>
  </sheetViews>
  <sheetFormatPr defaultColWidth="12.5703125" defaultRowHeight="15.75" customHeight="1" x14ac:dyDescent="0.2"/>
  <cols>
    <col min="1" max="1" width="28.85546875" customWidth="1"/>
    <col min="2" max="2" width="12.5703125" hidden="1"/>
    <col min="3" max="3" width="7.28515625" customWidth="1"/>
    <col min="4" max="4" width="8.28515625" customWidth="1"/>
    <col min="5" max="5" width="6.85546875" customWidth="1"/>
    <col min="6" max="6" width="7.42578125" customWidth="1"/>
    <col min="7" max="7" width="8.42578125" customWidth="1"/>
  </cols>
  <sheetData>
    <row r="1" spans="1:7" x14ac:dyDescent="0.2">
      <c r="A1" s="61" t="str">
        <f ca="1">IFERROR(__xludf.DUMMYFUNCTION("IMPORTRANGE(""https://docs.google.com/spreadsheets/d/1PuBz5VSpjToQCy4UoR27pP26bScW83---4BhrGcSt8w/edit?usp=sharing"", ""Fruit Trees!A1:z100000"")"),"Common Name")</f>
        <v>Common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IFERROR(__xludf.DUMMYFUNCTION("""COMPUTED_VALUE"""),"Pot Size")</f>
        <v>Pot Size</v>
      </c>
      <c r="D1" s="61" t="str">
        <f ca="1">IFERROR(__xludf.DUMMYFUNCTION("""COMPUTED_VALUE"""),"Caliper ")</f>
        <v xml:space="preserve">Caliper </v>
      </c>
      <c r="E1" s="61" t="str">
        <f ca="1">IFERROR(__xludf.DUMMYFUNCTION("""COMPUTED_VALUE"""),"Height ")</f>
        <v xml:space="preserve">Height </v>
      </c>
      <c r="F1" s="61" t="str">
        <f ca="1">IFERROR(__xludf.DUMMYFUNCTION("""COMPUTED_VALUE"""),"Quantity")</f>
        <v>Quantity</v>
      </c>
      <c r="G1" s="61" t="str">
        <f ca="1">IFERROR(__xludf.DUMMYFUNCTION("""COMPUTED_VALUE"""),"Price")</f>
        <v>Price</v>
      </c>
    </row>
    <row r="2" spans="1:7" x14ac:dyDescent="0.2">
      <c r="A2" s="61" t="str">
        <f ca="1">IFERROR(__xludf.DUMMYFUNCTION("""COMPUTED_VALUE"""),"Almond - Hall's Hardy")</f>
        <v>Almond - Hall's Hardy</v>
      </c>
      <c r="B2" s="61">
        <f ca="1">IFERROR(__xludf.DUMMYFUNCTION("""COMPUTED_VALUE"""),7)</f>
        <v>7</v>
      </c>
      <c r="C2" s="61" t="str">
        <f ca="1">IFERROR(__xludf.DUMMYFUNCTION("""COMPUTED_VALUE"""),"#7")</f>
        <v>#7</v>
      </c>
      <c r="D2" s="61" t="str">
        <f ca="1">IFERROR(__xludf.DUMMYFUNCTION("""COMPUTED_VALUE"""),"0.75-1.75""")</f>
        <v>0.75-1.75"</v>
      </c>
      <c r="E2" s="61" t="str">
        <f ca="1">IFERROR(__xludf.DUMMYFUNCTION("""COMPUTED_VALUE"""),"5-9'")</f>
        <v>5-9'</v>
      </c>
      <c r="F2" s="62">
        <f ca="1">IFERROR(__xludf.DUMMYFUNCTION("""COMPUTED_VALUE"""),22)</f>
        <v>22</v>
      </c>
      <c r="G2" s="63">
        <f ca="1">IFERROR(__xludf.DUMMYFUNCTION("""COMPUTED_VALUE"""),80)</f>
        <v>80</v>
      </c>
    </row>
    <row r="3" spans="1:7" x14ac:dyDescent="0.2">
      <c r="A3" s="61" t="str">
        <f ca="1">IFERROR(__xludf.DUMMYFUNCTION("""COMPUTED_VALUE"""),"Almond - Hall's Hardy")</f>
        <v>Almond - Hall's Hardy</v>
      </c>
      <c r="B3" s="61">
        <f ca="1">IFERROR(__xludf.DUMMYFUNCTION("""COMPUTED_VALUE"""),10)</f>
        <v>10</v>
      </c>
      <c r="C3" s="61" t="str">
        <f ca="1">IFERROR(__xludf.DUMMYFUNCTION("""COMPUTED_VALUE"""),"#10")</f>
        <v>#10</v>
      </c>
      <c r="D3" s="61" t="str">
        <f ca="1">IFERROR(__xludf.DUMMYFUNCTION("""COMPUTED_VALUE"""),"1.5-1.5""")</f>
        <v>1.5-1.5"</v>
      </c>
      <c r="E3" s="61" t="str">
        <f ca="1">IFERROR(__xludf.DUMMYFUNCTION("""COMPUTED_VALUE"""),"8-9'")</f>
        <v>8-9'</v>
      </c>
      <c r="F3" s="62">
        <f ca="1">IFERROR(__xludf.DUMMYFUNCTION("""COMPUTED_VALUE"""),3)</f>
        <v>3</v>
      </c>
      <c r="G3" s="63">
        <f ca="1">IFERROR(__xludf.DUMMYFUNCTION("""COMPUTED_VALUE"""),100)</f>
        <v>100</v>
      </c>
    </row>
    <row r="4" spans="1:7" x14ac:dyDescent="0.2">
      <c r="A4" s="61" t="str">
        <f ca="1">IFERROR(__xludf.DUMMYFUNCTION("""COMPUTED_VALUE"""),"Apple - 3in1 3-Tier Espalier (Honeycrisp-Akane-Liberty)")</f>
        <v>Apple - 3in1 3-Tier Espalier (Honeycrisp-Akane-Liberty)</v>
      </c>
      <c r="B4" s="61" t="str">
        <f ca="1">IFERROR(__xludf.DUMMYFUNCTION("""COMPUTED_VALUE"""),"10")</f>
        <v>10</v>
      </c>
      <c r="C4" s="61" t="str">
        <f ca="1">IFERROR(__xludf.DUMMYFUNCTION("""COMPUTED_VALUE"""),"#10")</f>
        <v>#10</v>
      </c>
      <c r="D4" s="61" t="str">
        <f ca="1">IFERROR(__xludf.DUMMYFUNCTION("""COMPUTED_VALUE"""),"0.75-1""")</f>
        <v>0.75-1"</v>
      </c>
      <c r="E4" s="61" t="str">
        <f ca="1">IFERROR(__xludf.DUMMYFUNCTION("""COMPUTED_VALUE"""),"5-6'")</f>
        <v>5-6'</v>
      </c>
      <c r="F4" s="62">
        <f ca="1">IFERROR(__xludf.DUMMYFUNCTION("""COMPUTED_VALUE"""),19)</f>
        <v>19</v>
      </c>
      <c r="G4" s="63">
        <f ca="1">IFERROR(__xludf.DUMMYFUNCTION("""COMPUTED_VALUE"""),180)</f>
        <v>180</v>
      </c>
    </row>
    <row r="5" spans="1:7" x14ac:dyDescent="0.2">
      <c r="A5" s="61" t="str">
        <f ca="1">IFERROR(__xludf.DUMMYFUNCTION("""COMPUTED_VALUE"""),"Apple - 6in1 3-Tier Espalier (Fuji-Gala-Liberty-Honeycrisp-Granny Smith-Yellow Delicious)")</f>
        <v>Apple - 6in1 3-Tier Espalier (Fuji-Gala-Liberty-Honeycrisp-Granny Smith-Yellow Delicious)</v>
      </c>
      <c r="B5" s="61" t="str">
        <f ca="1">IFERROR(__xludf.DUMMYFUNCTION("""COMPUTED_VALUE"""),"10")</f>
        <v>10</v>
      </c>
      <c r="C5" s="61" t="str">
        <f ca="1">IFERROR(__xludf.DUMMYFUNCTION("""COMPUTED_VALUE"""),"#10")</f>
        <v>#10</v>
      </c>
      <c r="D5" s="61" t="str">
        <f ca="1">IFERROR(__xludf.DUMMYFUNCTION("""COMPUTED_VALUE"""),"0.75-1""")</f>
        <v>0.75-1"</v>
      </c>
      <c r="E5" s="61" t="str">
        <f ca="1">IFERROR(__xludf.DUMMYFUNCTION("""COMPUTED_VALUE"""),"4.5-5'")</f>
        <v>4.5-5'</v>
      </c>
      <c r="F5" s="62">
        <f ca="1">IFERROR(__xludf.DUMMYFUNCTION("""COMPUTED_VALUE"""),11)</f>
        <v>11</v>
      </c>
      <c r="G5" s="63">
        <f ca="1">IFERROR(__xludf.DUMMYFUNCTION("""COMPUTED_VALUE"""),180)</f>
        <v>180</v>
      </c>
    </row>
    <row r="6" spans="1:7" x14ac:dyDescent="0.2">
      <c r="A6" s="61" t="str">
        <f ca="1">IFERROR(__xludf.DUMMYFUNCTION("""COMPUTED_VALUE"""),"Apple - Ambrosia")</f>
        <v>Apple - Ambrosia</v>
      </c>
      <c r="B6" s="61">
        <f ca="1">IFERROR(__xludf.DUMMYFUNCTION("""COMPUTED_VALUE"""),5)</f>
        <v>5</v>
      </c>
      <c r="C6" s="61" t="str">
        <f ca="1">IFERROR(__xludf.DUMMYFUNCTION("""COMPUTED_VALUE"""),"#5")</f>
        <v>#5</v>
      </c>
      <c r="D6" s="61" t="str">
        <f ca="1">IFERROR(__xludf.DUMMYFUNCTION("""COMPUTED_VALUE"""),"1-1.5""")</f>
        <v>1-1.5"</v>
      </c>
      <c r="E6" s="61" t="str">
        <f ca="1">IFERROR(__xludf.DUMMYFUNCTION("""COMPUTED_VALUE"""),"7-10'")</f>
        <v>7-10'</v>
      </c>
      <c r="F6" s="62">
        <f ca="1">IFERROR(__xludf.DUMMYFUNCTION("""COMPUTED_VALUE"""),138)</f>
        <v>138</v>
      </c>
      <c r="G6" s="63">
        <f ca="1">IFERROR(__xludf.DUMMYFUNCTION("""COMPUTED_VALUE"""),55)</f>
        <v>55</v>
      </c>
    </row>
    <row r="7" spans="1:7" x14ac:dyDescent="0.2">
      <c r="A7" s="61" t="str">
        <f ca="1">IFERROR(__xludf.DUMMYFUNCTION("""COMPUTED_VALUE"""),"Apple - Arkansas Black")</f>
        <v>Apple - Arkansas Black</v>
      </c>
      <c r="B7" s="61">
        <f ca="1">IFERROR(__xludf.DUMMYFUNCTION("""COMPUTED_VALUE"""),5)</f>
        <v>5</v>
      </c>
      <c r="C7" s="61" t="str">
        <f ca="1">IFERROR(__xludf.DUMMYFUNCTION("""COMPUTED_VALUE"""),"#5")</f>
        <v>#5</v>
      </c>
      <c r="D7" s="61" t="str">
        <f ca="1">IFERROR(__xludf.DUMMYFUNCTION("""COMPUTED_VALUE"""),"0.75-1.25""")</f>
        <v>0.75-1.25"</v>
      </c>
      <c r="E7" s="61" t="str">
        <f ca="1">IFERROR(__xludf.DUMMYFUNCTION("""COMPUTED_VALUE"""),"4-10'")</f>
        <v>4-10'</v>
      </c>
      <c r="F7" s="62">
        <f ca="1">IFERROR(__xludf.DUMMYFUNCTION("""COMPUTED_VALUE"""),151)</f>
        <v>151</v>
      </c>
      <c r="G7" s="63">
        <f ca="1">IFERROR(__xludf.DUMMYFUNCTION("""COMPUTED_VALUE"""),55)</f>
        <v>55</v>
      </c>
    </row>
    <row r="8" spans="1:7" x14ac:dyDescent="0.2">
      <c r="A8" s="61" t="str">
        <f ca="1">IFERROR(__xludf.DUMMYFUNCTION("""COMPUTED_VALUE"""),"Apple - Arkansas Black")</f>
        <v>Apple - Arkansas Black</v>
      </c>
      <c r="B8" s="61">
        <f ca="1">IFERROR(__xludf.DUMMYFUNCTION("""COMPUTED_VALUE"""),10)</f>
        <v>10</v>
      </c>
      <c r="C8" s="61" t="str">
        <f ca="1">IFERROR(__xludf.DUMMYFUNCTION("""COMPUTED_VALUE"""),"#10")</f>
        <v>#10</v>
      </c>
      <c r="D8" s="61" t="str">
        <f ca="1">IFERROR(__xludf.DUMMYFUNCTION("""COMPUTED_VALUE"""),"1-1""")</f>
        <v>1-1"</v>
      </c>
      <c r="E8" s="61" t="str">
        <f ca="1">IFERROR(__xludf.DUMMYFUNCTION("""COMPUTED_VALUE"""),"6-8'")</f>
        <v>6-8'</v>
      </c>
      <c r="F8" s="62">
        <f ca="1">IFERROR(__xludf.DUMMYFUNCTION("""COMPUTED_VALUE"""),14)</f>
        <v>14</v>
      </c>
      <c r="G8" s="63">
        <f ca="1">IFERROR(__xludf.DUMMYFUNCTION("""COMPUTED_VALUE"""),100)</f>
        <v>100</v>
      </c>
    </row>
    <row r="9" spans="1:7" x14ac:dyDescent="0.2">
      <c r="A9" s="61" t="str">
        <f ca="1">IFERROR(__xludf.DUMMYFUNCTION("""COMPUTED_VALUE"""),"Apple - Baldwin")</f>
        <v>Apple - Baldwin</v>
      </c>
      <c r="B9" s="61">
        <f ca="1">IFERROR(__xludf.DUMMYFUNCTION("""COMPUTED_VALUE"""),5)</f>
        <v>5</v>
      </c>
      <c r="C9" s="61" t="str">
        <f ca="1">IFERROR(__xludf.DUMMYFUNCTION("""COMPUTED_VALUE"""),"#5")</f>
        <v>#5</v>
      </c>
      <c r="D9" s="61" t="str">
        <f ca="1">IFERROR(__xludf.DUMMYFUNCTION("""COMPUTED_VALUE"""),"0.75-1.25""")</f>
        <v>0.75-1.25"</v>
      </c>
      <c r="E9" s="61" t="str">
        <f ca="1">IFERROR(__xludf.DUMMYFUNCTION("""COMPUTED_VALUE"""),"8-12'")</f>
        <v>8-12'</v>
      </c>
      <c r="F9" s="62">
        <f ca="1">IFERROR(__xludf.DUMMYFUNCTION("""COMPUTED_VALUE"""),70)</f>
        <v>70</v>
      </c>
      <c r="G9" s="63">
        <f ca="1">IFERROR(__xludf.DUMMYFUNCTION("""COMPUTED_VALUE"""),55)</f>
        <v>55</v>
      </c>
    </row>
    <row r="10" spans="1:7" x14ac:dyDescent="0.2">
      <c r="A10" s="61" t="str">
        <f ca="1">IFERROR(__xludf.DUMMYFUNCTION("""COMPUTED_VALUE"""),"Apple - Cortland")</f>
        <v>Apple - Cortland</v>
      </c>
      <c r="B10" s="61">
        <f ca="1">IFERROR(__xludf.DUMMYFUNCTION("""COMPUTED_VALUE"""),5)</f>
        <v>5</v>
      </c>
      <c r="C10" s="61" t="str">
        <f ca="1">IFERROR(__xludf.DUMMYFUNCTION("""COMPUTED_VALUE"""),"#5")</f>
        <v>#5</v>
      </c>
      <c r="D10" s="61" t="str">
        <f ca="1">IFERROR(__xludf.DUMMYFUNCTION("""COMPUTED_VALUE"""),"0.5-1""")</f>
        <v>0.5-1"</v>
      </c>
      <c r="E10" s="61" t="str">
        <f ca="1">IFERROR(__xludf.DUMMYFUNCTION("""COMPUTED_VALUE"""),"5-7'")</f>
        <v>5-7'</v>
      </c>
      <c r="F10" s="62">
        <f ca="1">IFERROR(__xludf.DUMMYFUNCTION("""COMPUTED_VALUE"""),53)</f>
        <v>53</v>
      </c>
      <c r="G10" s="63">
        <f ca="1">IFERROR(__xludf.DUMMYFUNCTION("""COMPUTED_VALUE"""),55)</f>
        <v>55</v>
      </c>
    </row>
    <row r="11" spans="1:7" x14ac:dyDescent="0.2">
      <c r="A11" s="61" t="str">
        <f ca="1">IFERROR(__xludf.DUMMYFUNCTION("""COMPUTED_VALUE"""),"Apple - Crimson Crisp")</f>
        <v>Apple - Crimson Crisp</v>
      </c>
      <c r="B11" s="61">
        <f ca="1">IFERROR(__xludf.DUMMYFUNCTION("""COMPUTED_VALUE"""),5)</f>
        <v>5</v>
      </c>
      <c r="C11" s="61" t="str">
        <f ca="1">IFERROR(__xludf.DUMMYFUNCTION("""COMPUTED_VALUE"""),"#5")</f>
        <v>#5</v>
      </c>
      <c r="D11" s="61" t="str">
        <f ca="1">IFERROR(__xludf.DUMMYFUNCTION("""COMPUTED_VALUE"""),"0.75-1""")</f>
        <v>0.75-1"</v>
      </c>
      <c r="E11" s="61" t="str">
        <f ca="1">IFERROR(__xludf.DUMMYFUNCTION("""COMPUTED_VALUE"""),"4-9'")</f>
        <v>4-9'</v>
      </c>
      <c r="F11" s="62">
        <f ca="1">IFERROR(__xludf.DUMMYFUNCTION("""COMPUTED_VALUE"""),46)</f>
        <v>46</v>
      </c>
      <c r="G11" s="63">
        <f ca="1">IFERROR(__xludf.DUMMYFUNCTION("""COMPUTED_VALUE"""),55)</f>
        <v>55</v>
      </c>
    </row>
    <row r="12" spans="1:7" x14ac:dyDescent="0.2">
      <c r="A12" s="61" t="str">
        <f ca="1">IFERROR(__xludf.DUMMYFUNCTION("""COMPUTED_VALUE"""),"Apple - Crown Empire")</f>
        <v>Apple - Crown Empire</v>
      </c>
      <c r="B12" s="61">
        <f ca="1">IFERROR(__xludf.DUMMYFUNCTION("""COMPUTED_VALUE"""),5)</f>
        <v>5</v>
      </c>
      <c r="C12" s="61" t="str">
        <f ca="1">IFERROR(__xludf.DUMMYFUNCTION("""COMPUTED_VALUE"""),"#5")</f>
        <v>#5</v>
      </c>
      <c r="D12" s="61" t="str">
        <f ca="1">IFERROR(__xludf.DUMMYFUNCTION("""COMPUTED_VALUE"""),"0.5-1.25""")</f>
        <v>0.5-1.25"</v>
      </c>
      <c r="E12" s="61" t="str">
        <f ca="1">IFERROR(__xludf.DUMMYFUNCTION("""COMPUTED_VALUE"""),"3-9'")</f>
        <v>3-9'</v>
      </c>
      <c r="F12" s="62">
        <f ca="1">IFERROR(__xludf.DUMMYFUNCTION("""COMPUTED_VALUE"""),10)</f>
        <v>10</v>
      </c>
      <c r="G12" s="63">
        <f ca="1">IFERROR(__xludf.DUMMYFUNCTION("""COMPUTED_VALUE"""),55)</f>
        <v>55</v>
      </c>
    </row>
    <row r="13" spans="1:7" x14ac:dyDescent="0.2">
      <c r="A13" s="61" t="str">
        <f ca="1">IFERROR(__xludf.DUMMYFUNCTION("""COMPUTED_VALUE"""),"Apple - Enterprise")</f>
        <v>Apple - Enterprise</v>
      </c>
      <c r="B13" s="61">
        <f ca="1">IFERROR(__xludf.DUMMYFUNCTION("""COMPUTED_VALUE"""),5)</f>
        <v>5</v>
      </c>
      <c r="C13" s="61" t="str">
        <f ca="1">IFERROR(__xludf.DUMMYFUNCTION("""COMPUTED_VALUE"""),"#5")</f>
        <v>#5</v>
      </c>
      <c r="D13" s="61" t="str">
        <f ca="1">IFERROR(__xludf.DUMMYFUNCTION("""COMPUTED_VALUE"""),"0.5-1.25""")</f>
        <v>0.5-1.25"</v>
      </c>
      <c r="E13" s="61" t="str">
        <f ca="1">IFERROR(__xludf.DUMMYFUNCTION("""COMPUTED_VALUE"""),"5-8'")</f>
        <v>5-8'</v>
      </c>
      <c r="F13" s="62">
        <f ca="1">IFERROR(__xludf.DUMMYFUNCTION("""COMPUTED_VALUE"""),341)</f>
        <v>341</v>
      </c>
      <c r="G13" s="63">
        <f ca="1">IFERROR(__xludf.DUMMYFUNCTION("""COMPUTED_VALUE"""),55)</f>
        <v>55</v>
      </c>
    </row>
    <row r="14" spans="1:7" x14ac:dyDescent="0.2">
      <c r="A14" s="61" t="str">
        <f ca="1">IFERROR(__xludf.DUMMYFUNCTION("""COMPUTED_VALUE"""),"Apple - Enterprise")</f>
        <v>Apple - Enterprise</v>
      </c>
      <c r="B14" s="61">
        <f ca="1">IFERROR(__xludf.DUMMYFUNCTION("""COMPUTED_VALUE"""),10)</f>
        <v>10</v>
      </c>
      <c r="C14" s="61" t="str">
        <f ca="1">IFERROR(__xludf.DUMMYFUNCTION("""COMPUTED_VALUE"""),"#10")</f>
        <v>#10</v>
      </c>
      <c r="D14" s="61" t="str">
        <f ca="1">IFERROR(__xludf.DUMMYFUNCTION("""COMPUTED_VALUE"""),"0.75-1.5""")</f>
        <v>0.75-1.5"</v>
      </c>
      <c r="E14" s="61" t="str">
        <f ca="1">IFERROR(__xludf.DUMMYFUNCTION("""COMPUTED_VALUE"""),"6-10'")</f>
        <v>6-10'</v>
      </c>
      <c r="F14" s="62">
        <f ca="1">IFERROR(__xludf.DUMMYFUNCTION("""COMPUTED_VALUE"""),21)</f>
        <v>21</v>
      </c>
      <c r="G14" s="63">
        <f ca="1">IFERROR(__xludf.DUMMYFUNCTION("""COMPUTED_VALUE"""),100)</f>
        <v>100</v>
      </c>
    </row>
    <row r="15" spans="1:7" x14ac:dyDescent="0.2">
      <c r="A15" s="61" t="str">
        <f ca="1">IFERROR(__xludf.DUMMYFUNCTION("""COMPUTED_VALUE"""),"Apple - Enterprise")</f>
        <v>Apple - Enterprise</v>
      </c>
      <c r="B15" s="61">
        <f ca="1">IFERROR(__xludf.DUMMYFUNCTION("""COMPUTED_VALUE"""),15)</f>
        <v>15</v>
      </c>
      <c r="C15" s="61" t="str">
        <f ca="1">IFERROR(__xludf.DUMMYFUNCTION("""COMPUTED_VALUE"""),"#15")</f>
        <v>#15</v>
      </c>
      <c r="D15" s="61" t="str">
        <f ca="1">IFERROR(__xludf.DUMMYFUNCTION("""COMPUTED_VALUE"""),"1.25-1.5""")</f>
        <v>1.25-1.5"</v>
      </c>
      <c r="E15" s="61" t="str">
        <f ca="1">IFERROR(__xludf.DUMMYFUNCTION("""COMPUTED_VALUE"""),"8-9'")</f>
        <v>8-9'</v>
      </c>
      <c r="F15" s="62">
        <f ca="1">IFERROR(__xludf.DUMMYFUNCTION("""COMPUTED_VALUE"""),17)</f>
        <v>17</v>
      </c>
      <c r="G15" s="63">
        <f ca="1">IFERROR(__xludf.DUMMYFUNCTION("""COMPUTED_VALUE"""),150)</f>
        <v>150</v>
      </c>
    </row>
    <row r="16" spans="1:7" x14ac:dyDescent="0.2">
      <c r="A16" s="61" t="str">
        <f ca="1">IFERROR(__xludf.DUMMYFUNCTION("""COMPUTED_VALUE"""),"Apple - Freedom")</f>
        <v>Apple - Freedom</v>
      </c>
      <c r="B16" s="61">
        <f ca="1">IFERROR(__xludf.DUMMYFUNCTION("""COMPUTED_VALUE"""),5)</f>
        <v>5</v>
      </c>
      <c r="C16" s="61" t="str">
        <f ca="1">IFERROR(__xludf.DUMMYFUNCTION("""COMPUTED_VALUE"""),"#5")</f>
        <v>#5</v>
      </c>
      <c r="D16" s="61" t="str">
        <f ca="1">IFERROR(__xludf.DUMMYFUNCTION("""COMPUTED_VALUE"""),"0.5-1.25""")</f>
        <v>0.5-1.25"</v>
      </c>
      <c r="E16" s="61" t="str">
        <f ca="1">IFERROR(__xludf.DUMMYFUNCTION("""COMPUTED_VALUE"""),"6-9'")</f>
        <v>6-9'</v>
      </c>
      <c r="F16" s="62">
        <f ca="1">IFERROR(__xludf.DUMMYFUNCTION("""COMPUTED_VALUE"""),120)</f>
        <v>120</v>
      </c>
      <c r="G16" s="63">
        <f ca="1">IFERROR(__xludf.DUMMYFUNCTION("""COMPUTED_VALUE"""),55)</f>
        <v>55</v>
      </c>
    </row>
    <row r="17" spans="1:7" x14ac:dyDescent="0.2">
      <c r="A17" s="61" t="str">
        <f ca="1">IFERROR(__xludf.DUMMYFUNCTION("""COMPUTED_VALUE"""),"Apple - Fuji")</f>
        <v>Apple - Fuji</v>
      </c>
      <c r="B17" s="61">
        <f ca="1">IFERROR(__xludf.DUMMYFUNCTION("""COMPUTED_VALUE"""),5)</f>
        <v>5</v>
      </c>
      <c r="C17" s="61" t="str">
        <f ca="1">IFERROR(__xludf.DUMMYFUNCTION("""COMPUTED_VALUE"""),"#5")</f>
        <v>#5</v>
      </c>
      <c r="D17" s="61" t="str">
        <f ca="1">IFERROR(__xludf.DUMMYFUNCTION("""COMPUTED_VALUE"""),"0.75-1.25""")</f>
        <v>0.75-1.25"</v>
      </c>
      <c r="E17" s="61" t="str">
        <f ca="1">IFERROR(__xludf.DUMMYFUNCTION("""COMPUTED_VALUE"""),"4-11'")</f>
        <v>4-11'</v>
      </c>
      <c r="F17" s="62">
        <f ca="1">IFERROR(__xludf.DUMMYFUNCTION("""COMPUTED_VALUE"""),130)</f>
        <v>130</v>
      </c>
      <c r="G17" s="63">
        <f ca="1">IFERROR(__xludf.DUMMYFUNCTION("""COMPUTED_VALUE"""),55)</f>
        <v>55</v>
      </c>
    </row>
    <row r="18" spans="1:7" x14ac:dyDescent="0.2">
      <c r="A18" s="61" t="str">
        <f ca="1">IFERROR(__xludf.DUMMYFUNCTION("""COMPUTED_VALUE"""),"Apple - Fuji")</f>
        <v>Apple - Fuji</v>
      </c>
      <c r="B18" s="61">
        <f ca="1">IFERROR(__xludf.DUMMYFUNCTION("""COMPUTED_VALUE"""),10)</f>
        <v>10</v>
      </c>
      <c r="C18" s="61" t="str">
        <f ca="1">IFERROR(__xludf.DUMMYFUNCTION("""COMPUTED_VALUE"""),"#10")</f>
        <v>#10</v>
      </c>
      <c r="D18" s="61" t="str">
        <f ca="1">IFERROR(__xludf.DUMMYFUNCTION("""COMPUTED_VALUE"""),"1-1.25""")</f>
        <v>1-1.25"</v>
      </c>
      <c r="E18" s="61" t="str">
        <f ca="1">IFERROR(__xludf.DUMMYFUNCTION("""COMPUTED_VALUE"""),"6-7.5'")</f>
        <v>6-7.5'</v>
      </c>
      <c r="F18" s="62">
        <f ca="1">IFERROR(__xludf.DUMMYFUNCTION("""COMPUTED_VALUE"""),12)</f>
        <v>12</v>
      </c>
      <c r="G18" s="63">
        <f ca="1">IFERROR(__xludf.DUMMYFUNCTION("""COMPUTED_VALUE"""),100)</f>
        <v>100</v>
      </c>
    </row>
    <row r="19" spans="1:7" x14ac:dyDescent="0.2">
      <c r="A19" s="61" t="str">
        <f ca="1">IFERROR(__xludf.DUMMYFUNCTION("""COMPUTED_VALUE"""),"Apple - Fuji")</f>
        <v>Apple - Fuji</v>
      </c>
      <c r="B19" s="61">
        <f ca="1">IFERROR(__xludf.DUMMYFUNCTION("""COMPUTED_VALUE"""),15)</f>
        <v>15</v>
      </c>
      <c r="C19" s="61" t="str">
        <f ca="1">IFERROR(__xludf.DUMMYFUNCTION("""COMPUTED_VALUE"""),"#15")</f>
        <v>#15</v>
      </c>
      <c r="D19" s="61" t="str">
        <f ca="1">IFERROR(__xludf.DUMMYFUNCTION("""COMPUTED_VALUE"""),"1.25-1.5""")</f>
        <v>1.25-1.5"</v>
      </c>
      <c r="E19" s="61" t="str">
        <f ca="1">IFERROR(__xludf.DUMMYFUNCTION("""COMPUTED_VALUE"""),"8-9'")</f>
        <v>8-9'</v>
      </c>
      <c r="F19" s="62">
        <f ca="1">IFERROR(__xludf.DUMMYFUNCTION("""COMPUTED_VALUE"""),7)</f>
        <v>7</v>
      </c>
      <c r="G19" s="63">
        <f ca="1">IFERROR(__xludf.DUMMYFUNCTION("""COMPUTED_VALUE"""),150)</f>
        <v>150</v>
      </c>
    </row>
    <row r="20" spans="1:7" x14ac:dyDescent="0.2">
      <c r="A20" s="61" t="str">
        <f ca="1">IFERROR(__xludf.DUMMYFUNCTION("""COMPUTED_VALUE"""),"Apple - Gala")</f>
        <v>Apple - Gala</v>
      </c>
      <c r="B20" s="61">
        <f ca="1">IFERROR(__xludf.DUMMYFUNCTION("""COMPUTED_VALUE"""),5)</f>
        <v>5</v>
      </c>
      <c r="C20" s="61" t="str">
        <f ca="1">IFERROR(__xludf.DUMMYFUNCTION("""COMPUTED_VALUE"""),"#5")</f>
        <v>#5</v>
      </c>
      <c r="D20" s="61" t="str">
        <f ca="1">IFERROR(__xludf.DUMMYFUNCTION("""COMPUTED_VALUE"""),"0.75-1.25""")</f>
        <v>0.75-1.25"</v>
      </c>
      <c r="E20" s="61" t="str">
        <f ca="1">IFERROR(__xludf.DUMMYFUNCTION("""COMPUTED_VALUE"""),"5-8'")</f>
        <v>5-8'</v>
      </c>
      <c r="F20" s="62">
        <f ca="1">IFERROR(__xludf.DUMMYFUNCTION("""COMPUTED_VALUE"""),132)</f>
        <v>132</v>
      </c>
      <c r="G20" s="63">
        <f ca="1">IFERROR(__xludf.DUMMYFUNCTION("""COMPUTED_VALUE"""),55)</f>
        <v>55</v>
      </c>
    </row>
    <row r="21" spans="1:7" x14ac:dyDescent="0.2">
      <c r="A21" s="61" t="str">
        <f ca="1">IFERROR(__xludf.DUMMYFUNCTION("""COMPUTED_VALUE"""),"Apple - Gala")</f>
        <v>Apple - Gala</v>
      </c>
      <c r="B21" s="61">
        <f ca="1">IFERROR(__xludf.DUMMYFUNCTION("""COMPUTED_VALUE"""),10)</f>
        <v>10</v>
      </c>
      <c r="C21" s="61" t="str">
        <f ca="1">IFERROR(__xludf.DUMMYFUNCTION("""COMPUTED_VALUE"""),"#10")</f>
        <v>#10</v>
      </c>
      <c r="D21" s="61" t="str">
        <f ca="1">IFERROR(__xludf.DUMMYFUNCTION("""COMPUTED_VALUE"""),"0.75-1""")</f>
        <v>0.75-1"</v>
      </c>
      <c r="E21" s="61" t="str">
        <f ca="1">IFERROR(__xludf.DUMMYFUNCTION("""COMPUTED_VALUE"""),"6-8'")</f>
        <v>6-8'</v>
      </c>
      <c r="F21" s="62">
        <f ca="1">IFERROR(__xludf.DUMMYFUNCTION("""COMPUTED_VALUE"""),3)</f>
        <v>3</v>
      </c>
      <c r="G21" s="63">
        <f ca="1">IFERROR(__xludf.DUMMYFUNCTION("""COMPUTED_VALUE"""),100)</f>
        <v>100</v>
      </c>
    </row>
    <row r="22" spans="1:7" x14ac:dyDescent="0.2">
      <c r="A22" s="61" t="str">
        <f ca="1">IFERROR(__xludf.DUMMYFUNCTION("""COMPUTED_VALUE"""),"Apple - Gala")</f>
        <v>Apple - Gala</v>
      </c>
      <c r="B22" s="61">
        <f ca="1">IFERROR(__xludf.DUMMYFUNCTION("""COMPUTED_VALUE"""),15)</f>
        <v>15</v>
      </c>
      <c r="C22" s="61" t="str">
        <f ca="1">IFERROR(__xludf.DUMMYFUNCTION("""COMPUTED_VALUE"""),"#15")</f>
        <v>#15</v>
      </c>
      <c r="D22" s="61" t="str">
        <f ca="1">IFERROR(__xludf.DUMMYFUNCTION("""COMPUTED_VALUE"""),"1.25-1.5""")</f>
        <v>1.25-1.5"</v>
      </c>
      <c r="E22" s="61" t="str">
        <f ca="1">IFERROR(__xludf.DUMMYFUNCTION("""COMPUTED_VALUE"""),"9-10'")</f>
        <v>9-10'</v>
      </c>
      <c r="F22" s="62">
        <f ca="1">IFERROR(__xludf.DUMMYFUNCTION("""COMPUTED_VALUE"""),10)</f>
        <v>10</v>
      </c>
      <c r="G22" s="63">
        <f ca="1">IFERROR(__xludf.DUMMYFUNCTION("""COMPUTED_VALUE"""),150)</f>
        <v>150</v>
      </c>
    </row>
    <row r="23" spans="1:7" x14ac:dyDescent="0.2">
      <c r="A23" s="61" t="str">
        <f ca="1">IFERROR(__xludf.DUMMYFUNCTION("""COMPUTED_VALUE"""),"Apple - Galarina")</f>
        <v>Apple - Galarina</v>
      </c>
      <c r="B23" s="61">
        <f ca="1">IFERROR(__xludf.DUMMYFUNCTION("""COMPUTED_VALUE"""),5)</f>
        <v>5</v>
      </c>
      <c r="C23" s="61" t="str">
        <f ca="1">IFERROR(__xludf.DUMMYFUNCTION("""COMPUTED_VALUE"""),"#5")</f>
        <v>#5</v>
      </c>
      <c r="D23" s="61" t="str">
        <f ca="1">IFERROR(__xludf.DUMMYFUNCTION("""COMPUTED_VALUE"""),"1-1.25""")</f>
        <v>1-1.25"</v>
      </c>
      <c r="E23" s="61" t="str">
        <f ca="1">IFERROR(__xludf.DUMMYFUNCTION("""COMPUTED_VALUE"""),"8.5-12'")</f>
        <v>8.5-12'</v>
      </c>
      <c r="F23" s="62">
        <f ca="1">IFERROR(__xludf.DUMMYFUNCTION("""COMPUTED_VALUE"""),84)</f>
        <v>84</v>
      </c>
      <c r="G23" s="63">
        <f ca="1">IFERROR(__xludf.DUMMYFUNCTION("""COMPUTED_VALUE"""),55)</f>
        <v>55</v>
      </c>
    </row>
    <row r="24" spans="1:7" x14ac:dyDescent="0.2">
      <c r="A24" s="61" t="str">
        <f ca="1">IFERROR(__xludf.DUMMYFUNCTION("""COMPUTED_VALUE"""),"Apple - Gold Rush")</f>
        <v>Apple - Gold Rush</v>
      </c>
      <c r="B24" s="61">
        <f ca="1">IFERROR(__xludf.DUMMYFUNCTION("""COMPUTED_VALUE"""),5)</f>
        <v>5</v>
      </c>
      <c r="C24" s="61" t="str">
        <f ca="1">IFERROR(__xludf.DUMMYFUNCTION("""COMPUTED_VALUE"""),"#5")</f>
        <v>#5</v>
      </c>
      <c r="D24" s="61" t="str">
        <f ca="1">IFERROR(__xludf.DUMMYFUNCTION("""COMPUTED_VALUE"""),"0.75-1""")</f>
        <v>0.75-1"</v>
      </c>
      <c r="E24" s="61" t="str">
        <f ca="1">IFERROR(__xludf.DUMMYFUNCTION("""COMPUTED_VALUE"""),"7.5-8.5'")</f>
        <v>7.5-8.5'</v>
      </c>
      <c r="F24" s="62">
        <f ca="1">IFERROR(__xludf.DUMMYFUNCTION("""COMPUTED_VALUE"""),52)</f>
        <v>52</v>
      </c>
      <c r="G24" s="63">
        <f ca="1">IFERROR(__xludf.DUMMYFUNCTION("""COMPUTED_VALUE"""),55)</f>
        <v>55</v>
      </c>
    </row>
    <row r="25" spans="1:7" x14ac:dyDescent="0.2">
      <c r="A25" s="61" t="str">
        <f ca="1">IFERROR(__xludf.DUMMYFUNCTION("""COMPUTED_VALUE"""),"Apple - Granny Smith")</f>
        <v>Apple - Granny Smith</v>
      </c>
      <c r="B25" s="61">
        <f ca="1">IFERROR(__xludf.DUMMYFUNCTION("""COMPUTED_VALUE"""),5)</f>
        <v>5</v>
      </c>
      <c r="C25" s="61" t="str">
        <f ca="1">IFERROR(__xludf.DUMMYFUNCTION("""COMPUTED_VALUE"""),"#5")</f>
        <v>#5</v>
      </c>
      <c r="D25" s="61" t="str">
        <f ca="1">IFERROR(__xludf.DUMMYFUNCTION("""COMPUTED_VALUE"""),"0.5-1.25""")</f>
        <v>0.5-1.25"</v>
      </c>
      <c r="E25" s="61" t="str">
        <f ca="1">IFERROR(__xludf.DUMMYFUNCTION("""COMPUTED_VALUE"""),"6-10'")</f>
        <v>6-10'</v>
      </c>
      <c r="F25" s="62">
        <f ca="1">IFERROR(__xludf.DUMMYFUNCTION("""COMPUTED_VALUE"""),60)</f>
        <v>60</v>
      </c>
      <c r="G25" s="63">
        <f ca="1">IFERROR(__xludf.DUMMYFUNCTION("""COMPUTED_VALUE"""),55)</f>
        <v>55</v>
      </c>
    </row>
    <row r="26" spans="1:7" x14ac:dyDescent="0.2">
      <c r="A26" s="61" t="str">
        <f ca="1">IFERROR(__xludf.DUMMYFUNCTION("""COMPUTED_VALUE"""),"Apple - Granny Smith")</f>
        <v>Apple - Granny Smith</v>
      </c>
      <c r="B26" s="61">
        <f ca="1">IFERROR(__xludf.DUMMYFUNCTION("""COMPUTED_VALUE"""),15)</f>
        <v>15</v>
      </c>
      <c r="C26" s="61" t="str">
        <f ca="1">IFERROR(__xludf.DUMMYFUNCTION("""COMPUTED_VALUE"""),"#15")</f>
        <v>#15</v>
      </c>
      <c r="D26" s="61" t="str">
        <f ca="1">IFERROR(__xludf.DUMMYFUNCTION("""COMPUTED_VALUE"""),"1-1.25""")</f>
        <v>1-1.25"</v>
      </c>
      <c r="E26" s="61" t="str">
        <f ca="1">IFERROR(__xludf.DUMMYFUNCTION("""COMPUTED_VALUE"""),"9-11'")</f>
        <v>9-11'</v>
      </c>
      <c r="F26" s="62">
        <f ca="1">IFERROR(__xludf.DUMMYFUNCTION("""COMPUTED_VALUE"""),7)</f>
        <v>7</v>
      </c>
      <c r="G26" s="63">
        <f ca="1">IFERROR(__xludf.DUMMYFUNCTION("""COMPUTED_VALUE"""),150)</f>
        <v>150</v>
      </c>
    </row>
    <row r="27" spans="1:7" x14ac:dyDescent="0.2">
      <c r="A27" s="61" t="str">
        <f ca="1">IFERROR(__xludf.DUMMYFUNCTION("""COMPUTED_VALUE"""),"Apple - Honeycrisp")</f>
        <v>Apple - Honeycrisp</v>
      </c>
      <c r="B27" s="61">
        <f ca="1">IFERROR(__xludf.DUMMYFUNCTION("""COMPUTED_VALUE"""),5)</f>
        <v>5</v>
      </c>
      <c r="C27" s="61" t="str">
        <f ca="1">IFERROR(__xludf.DUMMYFUNCTION("""COMPUTED_VALUE"""),"#5")</f>
        <v>#5</v>
      </c>
      <c r="D27" s="61" t="str">
        <f ca="1">IFERROR(__xludf.DUMMYFUNCTION("""COMPUTED_VALUE"""),"0.5-1""")</f>
        <v>0.5-1"</v>
      </c>
      <c r="E27" s="61" t="str">
        <f ca="1">IFERROR(__xludf.DUMMYFUNCTION("""COMPUTED_VALUE"""),"6.5-9'")</f>
        <v>6.5-9'</v>
      </c>
      <c r="F27" s="62">
        <f ca="1">IFERROR(__xludf.DUMMYFUNCTION("""COMPUTED_VALUE"""),15)</f>
        <v>15</v>
      </c>
      <c r="G27" s="63">
        <f ca="1">IFERROR(__xludf.DUMMYFUNCTION("""COMPUTED_VALUE"""),55)</f>
        <v>55</v>
      </c>
    </row>
    <row r="28" spans="1:7" x14ac:dyDescent="0.2">
      <c r="A28" s="61" t="str">
        <f ca="1">IFERROR(__xludf.DUMMYFUNCTION("""COMPUTED_VALUE"""),"Apple - Honeycrisp")</f>
        <v>Apple - Honeycrisp</v>
      </c>
      <c r="B28" s="61">
        <f ca="1">IFERROR(__xludf.DUMMYFUNCTION("""COMPUTED_VALUE"""),10)</f>
        <v>10</v>
      </c>
      <c r="C28" s="61" t="str">
        <f ca="1">IFERROR(__xludf.DUMMYFUNCTION("""COMPUTED_VALUE"""),"#10")</f>
        <v>#10</v>
      </c>
      <c r="D28" s="61" t="str">
        <f ca="1">IFERROR(__xludf.DUMMYFUNCTION("""COMPUTED_VALUE"""),"1-1.25""")</f>
        <v>1-1.25"</v>
      </c>
      <c r="E28" s="61" t="str">
        <f ca="1">IFERROR(__xludf.DUMMYFUNCTION("""COMPUTED_VALUE"""),"6-9'")</f>
        <v>6-9'</v>
      </c>
      <c r="F28" s="62">
        <f ca="1">IFERROR(__xludf.DUMMYFUNCTION("""COMPUTED_VALUE"""),1)</f>
        <v>1</v>
      </c>
      <c r="G28" s="63">
        <f ca="1">IFERROR(__xludf.DUMMYFUNCTION("""COMPUTED_VALUE"""),100)</f>
        <v>100</v>
      </c>
    </row>
    <row r="29" spans="1:7" x14ac:dyDescent="0.2">
      <c r="A29" s="61" t="str">
        <f ca="1">IFERROR(__xludf.DUMMYFUNCTION("""COMPUTED_VALUE"""),"Apple - Initial")</f>
        <v>Apple - Initial</v>
      </c>
      <c r="B29" s="61">
        <f ca="1">IFERROR(__xludf.DUMMYFUNCTION("""COMPUTED_VALUE"""),5)</f>
        <v>5</v>
      </c>
      <c r="C29" s="61" t="str">
        <f ca="1">IFERROR(__xludf.DUMMYFUNCTION("""COMPUTED_VALUE"""),"#5")</f>
        <v>#5</v>
      </c>
      <c r="D29" s="61" t="str">
        <f ca="1">IFERROR(__xludf.DUMMYFUNCTION("""COMPUTED_VALUE"""),"0.75-1.5""")</f>
        <v>0.75-1.5"</v>
      </c>
      <c r="E29" s="61" t="str">
        <f ca="1">IFERROR(__xludf.DUMMYFUNCTION("""COMPUTED_VALUE"""),"6-10'")</f>
        <v>6-10'</v>
      </c>
      <c r="F29" s="62">
        <f ca="1">IFERROR(__xludf.DUMMYFUNCTION("""COMPUTED_VALUE"""),86)</f>
        <v>86</v>
      </c>
      <c r="G29" s="63">
        <f ca="1">IFERROR(__xludf.DUMMYFUNCTION("""COMPUTED_VALUE"""),55)</f>
        <v>55</v>
      </c>
    </row>
    <row r="30" spans="1:7" x14ac:dyDescent="0.2">
      <c r="A30" s="61" t="str">
        <f ca="1">IFERROR(__xludf.DUMMYFUNCTION("""COMPUTED_VALUE"""),"Apple - Liberty")</f>
        <v>Apple - Liberty</v>
      </c>
      <c r="B30" s="61">
        <f ca="1">IFERROR(__xludf.DUMMYFUNCTION("""COMPUTED_VALUE"""),5)</f>
        <v>5</v>
      </c>
      <c r="C30" s="61" t="str">
        <f ca="1">IFERROR(__xludf.DUMMYFUNCTION("""COMPUTED_VALUE"""),"#5")</f>
        <v>#5</v>
      </c>
      <c r="D30" s="61" t="str">
        <f ca="1">IFERROR(__xludf.DUMMYFUNCTION("""COMPUTED_VALUE"""),"0.5-1.75""")</f>
        <v>0.5-1.75"</v>
      </c>
      <c r="E30" s="61" t="str">
        <f ca="1">IFERROR(__xludf.DUMMYFUNCTION("""COMPUTED_VALUE"""),"7-9'")</f>
        <v>7-9'</v>
      </c>
      <c r="F30" s="62">
        <f ca="1">IFERROR(__xludf.DUMMYFUNCTION("""COMPUTED_VALUE"""),165)</f>
        <v>165</v>
      </c>
      <c r="G30" s="63">
        <f ca="1">IFERROR(__xludf.DUMMYFUNCTION("""COMPUTED_VALUE"""),55)</f>
        <v>55</v>
      </c>
    </row>
    <row r="31" spans="1:7" x14ac:dyDescent="0.2">
      <c r="A31" s="61" t="str">
        <f ca="1">IFERROR(__xludf.DUMMYFUNCTION("""COMPUTED_VALUE"""),"Apple - Macoun")</f>
        <v>Apple - Macoun</v>
      </c>
      <c r="B31" s="61">
        <f ca="1">IFERROR(__xludf.DUMMYFUNCTION("""COMPUTED_VALUE"""),5)</f>
        <v>5</v>
      </c>
      <c r="C31" s="61" t="str">
        <f ca="1">IFERROR(__xludf.DUMMYFUNCTION("""COMPUTED_VALUE"""),"#5")</f>
        <v>#5</v>
      </c>
      <c r="D31" s="61" t="str">
        <f ca="1">IFERROR(__xludf.DUMMYFUNCTION("""COMPUTED_VALUE"""),"1-1.25""")</f>
        <v>1-1.25"</v>
      </c>
      <c r="E31" s="61" t="str">
        <f ca="1">IFERROR(__xludf.DUMMYFUNCTION("""COMPUTED_VALUE"""),"9-10'")</f>
        <v>9-10'</v>
      </c>
      <c r="F31" s="62">
        <f ca="1">IFERROR(__xludf.DUMMYFUNCTION("""COMPUTED_VALUE"""),103)</f>
        <v>103</v>
      </c>
      <c r="G31" s="63">
        <f ca="1">IFERROR(__xludf.DUMMYFUNCTION("""COMPUTED_VALUE"""),55)</f>
        <v>55</v>
      </c>
    </row>
    <row r="32" spans="1:7" x14ac:dyDescent="0.2">
      <c r="A32" s="61" t="str">
        <f ca="1">IFERROR(__xludf.DUMMYFUNCTION("""COMPUTED_VALUE"""),"Apple - McIntosh")</f>
        <v>Apple - McIntosh</v>
      </c>
      <c r="B32" s="61">
        <f ca="1">IFERROR(__xludf.DUMMYFUNCTION("""COMPUTED_VALUE"""),5)</f>
        <v>5</v>
      </c>
      <c r="C32" s="61" t="str">
        <f ca="1">IFERROR(__xludf.DUMMYFUNCTION("""COMPUTED_VALUE"""),"#5")</f>
        <v>#5</v>
      </c>
      <c r="D32" s="61" t="str">
        <f ca="1">IFERROR(__xludf.DUMMYFUNCTION("""COMPUTED_VALUE"""),"0.75-1.25""")</f>
        <v>0.75-1.25"</v>
      </c>
      <c r="E32" s="61" t="str">
        <f ca="1">IFERROR(__xludf.DUMMYFUNCTION("""COMPUTED_VALUE"""),"5-12'")</f>
        <v>5-12'</v>
      </c>
      <c r="F32" s="62">
        <f ca="1">IFERROR(__xludf.DUMMYFUNCTION("""COMPUTED_VALUE"""),84)</f>
        <v>84</v>
      </c>
      <c r="G32" s="63">
        <f ca="1">IFERROR(__xludf.DUMMYFUNCTION("""COMPUTED_VALUE"""),55)</f>
        <v>55</v>
      </c>
    </row>
    <row r="33" spans="1:7" x14ac:dyDescent="0.2">
      <c r="A33" s="61" t="str">
        <f ca="1">IFERROR(__xludf.DUMMYFUNCTION("""COMPUTED_VALUE"""),"Apple - McIntosh")</f>
        <v>Apple - McIntosh</v>
      </c>
      <c r="B33" s="61">
        <f ca="1">IFERROR(__xludf.DUMMYFUNCTION("""COMPUTED_VALUE"""),10)</f>
        <v>10</v>
      </c>
      <c r="C33" s="61" t="str">
        <f ca="1">IFERROR(__xludf.DUMMYFUNCTION("""COMPUTED_VALUE"""),"#10")</f>
        <v>#10</v>
      </c>
      <c r="D33" s="61" t="str">
        <f ca="1">IFERROR(__xludf.DUMMYFUNCTION("""COMPUTED_VALUE"""),"0.75-1.25""")</f>
        <v>0.75-1.25"</v>
      </c>
      <c r="E33" s="61" t="str">
        <f ca="1">IFERROR(__xludf.DUMMYFUNCTION("""COMPUTED_VALUE"""),"5-11'")</f>
        <v>5-11'</v>
      </c>
      <c r="F33" s="62">
        <f ca="1">IFERROR(__xludf.DUMMYFUNCTION("""COMPUTED_VALUE"""),12)</f>
        <v>12</v>
      </c>
      <c r="G33" s="63">
        <f ca="1">IFERROR(__xludf.DUMMYFUNCTION("""COMPUTED_VALUE"""),100)</f>
        <v>100</v>
      </c>
    </row>
    <row r="34" spans="1:7" x14ac:dyDescent="0.2">
      <c r="A34" s="61" t="str">
        <f ca="1">IFERROR(__xludf.DUMMYFUNCTION("""COMPUTED_VALUE"""),"Apple - McIntosh")</f>
        <v>Apple - McIntosh</v>
      </c>
      <c r="B34" s="61">
        <f ca="1">IFERROR(__xludf.DUMMYFUNCTION("""COMPUTED_VALUE"""),15)</f>
        <v>15</v>
      </c>
      <c r="C34" s="61" t="str">
        <f ca="1">IFERROR(__xludf.DUMMYFUNCTION("""COMPUTED_VALUE"""),"#15")</f>
        <v>#15</v>
      </c>
      <c r="D34" s="61" t="str">
        <f ca="1">IFERROR(__xludf.DUMMYFUNCTION("""COMPUTED_VALUE"""),"1.25-1.5""")</f>
        <v>1.25-1.5"</v>
      </c>
      <c r="E34" s="61" t="str">
        <f ca="1">IFERROR(__xludf.DUMMYFUNCTION("""COMPUTED_VALUE"""),"8-10'")</f>
        <v>8-10'</v>
      </c>
      <c r="F34" s="62">
        <f ca="1">IFERROR(__xludf.DUMMYFUNCTION("""COMPUTED_VALUE"""),9)</f>
        <v>9</v>
      </c>
      <c r="G34" s="63">
        <f ca="1">IFERROR(__xludf.DUMMYFUNCTION("""COMPUTED_VALUE"""),150)</f>
        <v>150</v>
      </c>
    </row>
    <row r="35" spans="1:7" x14ac:dyDescent="0.2">
      <c r="A35" s="61" t="str">
        <f ca="1">IFERROR(__xludf.DUMMYFUNCTION("""COMPUTED_VALUE"""),"Apple - Nova Spy")</f>
        <v>Apple - Nova Spy</v>
      </c>
      <c r="B35" s="61">
        <f ca="1">IFERROR(__xludf.DUMMYFUNCTION("""COMPUTED_VALUE"""),5)</f>
        <v>5</v>
      </c>
      <c r="C35" s="61" t="str">
        <f ca="1">IFERROR(__xludf.DUMMYFUNCTION("""COMPUTED_VALUE"""),"#5")</f>
        <v>#5</v>
      </c>
      <c r="D35" s="61" t="str">
        <f ca="1">IFERROR(__xludf.DUMMYFUNCTION("""COMPUTED_VALUE"""),"0.5-1""")</f>
        <v>0.5-1"</v>
      </c>
      <c r="E35" s="61" t="str">
        <f ca="1">IFERROR(__xludf.DUMMYFUNCTION("""COMPUTED_VALUE"""),"7-11'")</f>
        <v>7-11'</v>
      </c>
      <c r="F35" s="62">
        <f ca="1">IFERROR(__xludf.DUMMYFUNCTION("""COMPUTED_VALUE"""),162)</f>
        <v>162</v>
      </c>
      <c r="G35" s="63">
        <f ca="1">IFERROR(__xludf.DUMMYFUNCTION("""COMPUTED_VALUE"""),55)</f>
        <v>55</v>
      </c>
    </row>
    <row r="36" spans="1:7" x14ac:dyDescent="0.2">
      <c r="A36" s="61" t="str">
        <f ca="1">IFERROR(__xludf.DUMMYFUNCTION("""COMPUTED_VALUE"""),"Apple - Pink Lady")</f>
        <v>Apple - Pink Lady</v>
      </c>
      <c r="B36" s="61">
        <f ca="1">IFERROR(__xludf.DUMMYFUNCTION("""COMPUTED_VALUE"""),5)</f>
        <v>5</v>
      </c>
      <c r="C36" s="61" t="str">
        <f ca="1">IFERROR(__xludf.DUMMYFUNCTION("""COMPUTED_VALUE"""),"#5")</f>
        <v>#5</v>
      </c>
      <c r="D36" s="61" t="str">
        <f ca="1">IFERROR(__xludf.DUMMYFUNCTION("""COMPUTED_VALUE"""),"0.5-0.75""")</f>
        <v>0.5-0.75"</v>
      </c>
      <c r="E36" s="61" t="str">
        <f ca="1">IFERROR(__xludf.DUMMYFUNCTION("""COMPUTED_VALUE"""),"5-6'")</f>
        <v>5-6'</v>
      </c>
      <c r="F36" s="62">
        <f ca="1">IFERROR(__xludf.DUMMYFUNCTION("""COMPUTED_VALUE"""),22)</f>
        <v>22</v>
      </c>
      <c r="G36" s="63">
        <f ca="1">IFERROR(__xludf.DUMMYFUNCTION("""COMPUTED_VALUE"""),55)</f>
        <v>55</v>
      </c>
    </row>
    <row r="37" spans="1:7" x14ac:dyDescent="0.2">
      <c r="A37" s="61" t="str">
        <f ca="1">IFERROR(__xludf.DUMMYFUNCTION("""COMPUTED_VALUE"""),"Apple - Querina")</f>
        <v>Apple - Querina</v>
      </c>
      <c r="B37" s="61">
        <f ca="1">IFERROR(__xludf.DUMMYFUNCTION("""COMPUTED_VALUE"""),5)</f>
        <v>5</v>
      </c>
      <c r="C37" s="61" t="str">
        <f ca="1">IFERROR(__xludf.DUMMYFUNCTION("""COMPUTED_VALUE"""),"#5")</f>
        <v>#5</v>
      </c>
      <c r="D37" s="61" t="str">
        <f ca="1">IFERROR(__xludf.DUMMYFUNCTION("""COMPUTED_VALUE"""),"0.5-1.25""")</f>
        <v>0.5-1.25"</v>
      </c>
      <c r="E37" s="61" t="str">
        <f ca="1">IFERROR(__xludf.DUMMYFUNCTION("""COMPUTED_VALUE"""),"6-10'")</f>
        <v>6-10'</v>
      </c>
      <c r="F37" s="62">
        <f ca="1">IFERROR(__xludf.DUMMYFUNCTION("""COMPUTED_VALUE"""),324)</f>
        <v>324</v>
      </c>
      <c r="G37" s="63">
        <f ca="1">IFERROR(__xludf.DUMMYFUNCTION("""COMPUTED_VALUE"""),55)</f>
        <v>55</v>
      </c>
    </row>
    <row r="38" spans="1:7" x14ac:dyDescent="0.2">
      <c r="A38" s="61" t="str">
        <f ca="1">IFERROR(__xludf.DUMMYFUNCTION("""COMPUTED_VALUE"""),"Apple - Querina")</f>
        <v>Apple - Querina</v>
      </c>
      <c r="B38" s="61">
        <f ca="1">IFERROR(__xludf.DUMMYFUNCTION("""COMPUTED_VALUE"""),10)</f>
        <v>10</v>
      </c>
      <c r="C38" s="61" t="str">
        <f ca="1">IFERROR(__xludf.DUMMYFUNCTION("""COMPUTED_VALUE"""),"#10")</f>
        <v>#10</v>
      </c>
      <c r="D38" s="61" t="str">
        <f ca="1">IFERROR(__xludf.DUMMYFUNCTION("""COMPUTED_VALUE"""),"1.25-1.25""")</f>
        <v>1.25-1.25"</v>
      </c>
      <c r="E38" s="61" t="str">
        <f ca="1">IFERROR(__xludf.DUMMYFUNCTION("""COMPUTED_VALUE"""),"7-8'")</f>
        <v>7-8'</v>
      </c>
      <c r="F38" s="62">
        <f ca="1">IFERROR(__xludf.DUMMYFUNCTION("""COMPUTED_VALUE"""),9)</f>
        <v>9</v>
      </c>
      <c r="G38" s="63">
        <f ca="1">IFERROR(__xludf.DUMMYFUNCTION("""COMPUTED_VALUE"""),100)</f>
        <v>100</v>
      </c>
    </row>
    <row r="39" spans="1:7" x14ac:dyDescent="0.2">
      <c r="A39" s="61" t="str">
        <f ca="1">IFERROR(__xludf.DUMMYFUNCTION("""COMPUTED_VALUE"""),"Apple - Red Cameo")</f>
        <v>Apple - Red Cameo</v>
      </c>
      <c r="B39" s="61">
        <f ca="1">IFERROR(__xludf.DUMMYFUNCTION("""COMPUTED_VALUE"""),5)</f>
        <v>5</v>
      </c>
      <c r="C39" s="61" t="str">
        <f ca="1">IFERROR(__xludf.DUMMYFUNCTION("""COMPUTED_VALUE"""),"#5")</f>
        <v>#5</v>
      </c>
      <c r="D39" s="61" t="str">
        <f ca="1">IFERROR(__xludf.DUMMYFUNCTION("""COMPUTED_VALUE"""),"0.5-1""")</f>
        <v>0.5-1"</v>
      </c>
      <c r="E39" s="61" t="str">
        <f ca="1">IFERROR(__xludf.DUMMYFUNCTION("""COMPUTED_VALUE"""),"6-9'")</f>
        <v>6-9'</v>
      </c>
      <c r="F39" s="62">
        <f ca="1">IFERROR(__xludf.DUMMYFUNCTION("""COMPUTED_VALUE"""),46)</f>
        <v>46</v>
      </c>
      <c r="G39" s="63">
        <f ca="1">IFERROR(__xludf.DUMMYFUNCTION("""COMPUTED_VALUE"""),55)</f>
        <v>55</v>
      </c>
    </row>
    <row r="40" spans="1:7" x14ac:dyDescent="0.2">
      <c r="A40" s="61" t="str">
        <f ca="1">IFERROR(__xludf.DUMMYFUNCTION("""COMPUTED_VALUE"""),"Apple - Red Delicious")</f>
        <v>Apple - Red Delicious</v>
      </c>
      <c r="B40" s="61">
        <f ca="1">IFERROR(__xludf.DUMMYFUNCTION("""COMPUTED_VALUE"""),5)</f>
        <v>5</v>
      </c>
      <c r="C40" s="61" t="str">
        <f ca="1">IFERROR(__xludf.DUMMYFUNCTION("""COMPUTED_VALUE"""),"#5")</f>
        <v>#5</v>
      </c>
      <c r="D40" s="61" t="str">
        <f ca="1">IFERROR(__xludf.DUMMYFUNCTION("""COMPUTED_VALUE"""),"0.75-1.25""")</f>
        <v>0.75-1.25"</v>
      </c>
      <c r="E40" s="61" t="str">
        <f ca="1">IFERROR(__xludf.DUMMYFUNCTION("""COMPUTED_VALUE"""),"6-11'")</f>
        <v>6-11'</v>
      </c>
      <c r="F40" s="62">
        <f ca="1">IFERROR(__xludf.DUMMYFUNCTION("""COMPUTED_VALUE"""),195)</f>
        <v>195</v>
      </c>
      <c r="G40" s="63">
        <f ca="1">IFERROR(__xludf.DUMMYFUNCTION("""COMPUTED_VALUE"""),55)</f>
        <v>55</v>
      </c>
    </row>
    <row r="41" spans="1:7" x14ac:dyDescent="0.2">
      <c r="A41" s="61" t="str">
        <f ca="1">IFERROR(__xludf.DUMMYFUNCTION("""COMPUTED_VALUE"""),"Apple - Red Delicious")</f>
        <v>Apple - Red Delicious</v>
      </c>
      <c r="B41" s="61">
        <f ca="1">IFERROR(__xludf.DUMMYFUNCTION("""COMPUTED_VALUE"""),10)</f>
        <v>10</v>
      </c>
      <c r="C41" s="61" t="str">
        <f ca="1">IFERROR(__xludf.DUMMYFUNCTION("""COMPUTED_VALUE"""),"#10")</f>
        <v>#10</v>
      </c>
      <c r="D41" s="61" t="str">
        <f ca="1">IFERROR(__xludf.DUMMYFUNCTION("""COMPUTED_VALUE"""),"0.5-1.5""")</f>
        <v>0.5-1.5"</v>
      </c>
      <c r="E41" s="61" t="str">
        <f ca="1">IFERROR(__xludf.DUMMYFUNCTION("""COMPUTED_VALUE"""),"6-11'")</f>
        <v>6-11'</v>
      </c>
      <c r="F41" s="62">
        <f ca="1">IFERROR(__xludf.DUMMYFUNCTION("""COMPUTED_VALUE"""),10)</f>
        <v>10</v>
      </c>
      <c r="G41" s="63">
        <f ca="1">IFERROR(__xludf.DUMMYFUNCTION("""COMPUTED_VALUE"""),100)</f>
        <v>100</v>
      </c>
    </row>
    <row r="42" spans="1:7" x14ac:dyDescent="0.2">
      <c r="A42" s="61" t="str">
        <f ca="1">IFERROR(__xludf.DUMMYFUNCTION("""COMPUTED_VALUE"""),"Apple - Red Delicious")</f>
        <v>Apple - Red Delicious</v>
      </c>
      <c r="B42" s="61">
        <f ca="1">IFERROR(__xludf.DUMMYFUNCTION("""COMPUTED_VALUE"""),15)</f>
        <v>15</v>
      </c>
      <c r="C42" s="61" t="str">
        <f ca="1">IFERROR(__xludf.DUMMYFUNCTION("""COMPUTED_VALUE"""),"#15")</f>
        <v>#15</v>
      </c>
      <c r="D42" s="61" t="str">
        <f ca="1">IFERROR(__xludf.DUMMYFUNCTION("""COMPUTED_VALUE"""),"1.25-1.5""")</f>
        <v>1.25-1.5"</v>
      </c>
      <c r="E42" s="61" t="str">
        <f ca="1">IFERROR(__xludf.DUMMYFUNCTION("""COMPUTED_VALUE"""),"9-10'")</f>
        <v>9-10'</v>
      </c>
      <c r="F42" s="62">
        <f ca="1">IFERROR(__xludf.DUMMYFUNCTION("""COMPUTED_VALUE"""),8)</f>
        <v>8</v>
      </c>
      <c r="G42" s="63">
        <f ca="1">IFERROR(__xludf.DUMMYFUNCTION("""COMPUTED_VALUE"""),150)</f>
        <v>150</v>
      </c>
    </row>
    <row r="43" spans="1:7" x14ac:dyDescent="0.2">
      <c r="A43" s="61" t="str">
        <f ca="1">IFERROR(__xludf.DUMMYFUNCTION("""COMPUTED_VALUE"""),"Apple - RubyRush")</f>
        <v>Apple - RubyRush</v>
      </c>
      <c r="B43" s="61">
        <f ca="1">IFERROR(__xludf.DUMMYFUNCTION("""COMPUTED_VALUE"""),5)</f>
        <v>5</v>
      </c>
      <c r="C43" s="61" t="str">
        <f ca="1">IFERROR(__xludf.DUMMYFUNCTION("""COMPUTED_VALUE"""),"#5")</f>
        <v>#5</v>
      </c>
      <c r="D43" s="61" t="str">
        <f ca="1">IFERROR(__xludf.DUMMYFUNCTION("""COMPUTED_VALUE"""),"1-1.25""")</f>
        <v>1-1.25"</v>
      </c>
      <c r="E43" s="61" t="str">
        <f ca="1">IFERROR(__xludf.DUMMYFUNCTION("""COMPUTED_VALUE"""),"8-12'")</f>
        <v>8-12'</v>
      </c>
      <c r="F43" s="62">
        <f ca="1">IFERROR(__xludf.DUMMYFUNCTION("""COMPUTED_VALUE"""),26)</f>
        <v>26</v>
      </c>
      <c r="G43" s="63">
        <f ca="1">IFERROR(__xludf.DUMMYFUNCTION("""COMPUTED_VALUE"""),55)</f>
        <v>55</v>
      </c>
    </row>
    <row r="44" spans="1:7" x14ac:dyDescent="0.2">
      <c r="A44" s="61" t="str">
        <f ca="1">IFERROR(__xludf.DUMMYFUNCTION("""COMPUTED_VALUE"""),"Apple - Spur Winter Banana")</f>
        <v>Apple - Spur Winter Banana</v>
      </c>
      <c r="B44" s="61">
        <f ca="1">IFERROR(__xludf.DUMMYFUNCTION("""COMPUTED_VALUE"""),5)</f>
        <v>5</v>
      </c>
      <c r="C44" s="61" t="str">
        <f ca="1">IFERROR(__xludf.DUMMYFUNCTION("""COMPUTED_VALUE"""),"#5")</f>
        <v>#5</v>
      </c>
      <c r="D44" s="61" t="str">
        <f ca="1">IFERROR(__xludf.DUMMYFUNCTION("""COMPUTED_VALUE"""),"0.5-1""")</f>
        <v>0.5-1"</v>
      </c>
      <c r="E44" s="61" t="str">
        <f ca="1">IFERROR(__xludf.DUMMYFUNCTION("""COMPUTED_VALUE"""),"4-7'")</f>
        <v>4-7'</v>
      </c>
      <c r="F44" s="62">
        <f ca="1">IFERROR(__xludf.DUMMYFUNCTION("""COMPUTED_VALUE"""),34)</f>
        <v>34</v>
      </c>
      <c r="G44" s="63">
        <f ca="1">IFERROR(__xludf.DUMMYFUNCTION("""COMPUTED_VALUE"""),55)</f>
        <v>55</v>
      </c>
    </row>
    <row r="45" spans="1:7" x14ac:dyDescent="0.2">
      <c r="A45" s="61" t="str">
        <f ca="1">IFERROR(__xludf.DUMMYFUNCTION("""COMPUTED_VALUE"""),"Apple - Winesap")</f>
        <v>Apple - Winesap</v>
      </c>
      <c r="B45" s="61">
        <f ca="1">IFERROR(__xludf.DUMMYFUNCTION("""COMPUTED_VALUE"""),5)</f>
        <v>5</v>
      </c>
      <c r="C45" s="61" t="str">
        <f ca="1">IFERROR(__xludf.DUMMYFUNCTION("""COMPUTED_VALUE"""),"#5")</f>
        <v>#5</v>
      </c>
      <c r="D45" s="61" t="str">
        <f ca="1">IFERROR(__xludf.DUMMYFUNCTION("""COMPUTED_VALUE"""),"0.75-1.25""")</f>
        <v>0.75-1.25"</v>
      </c>
      <c r="E45" s="61" t="str">
        <f ca="1">IFERROR(__xludf.DUMMYFUNCTION("""COMPUTED_VALUE"""),"5-11'")</f>
        <v>5-11'</v>
      </c>
      <c r="F45" s="62">
        <f ca="1">IFERROR(__xludf.DUMMYFUNCTION("""COMPUTED_VALUE"""),128)</f>
        <v>128</v>
      </c>
      <c r="G45" s="63">
        <f ca="1">IFERROR(__xludf.DUMMYFUNCTION("""COMPUTED_VALUE"""),55)</f>
        <v>55</v>
      </c>
    </row>
    <row r="46" spans="1:7" x14ac:dyDescent="0.2">
      <c r="A46" s="61" t="str">
        <f ca="1">IFERROR(__xludf.DUMMYFUNCTION("""COMPUTED_VALUE"""),"Apple - Winesap")</f>
        <v>Apple - Winesap</v>
      </c>
      <c r="B46" s="61">
        <f ca="1">IFERROR(__xludf.DUMMYFUNCTION("""COMPUTED_VALUE"""),10)</f>
        <v>10</v>
      </c>
      <c r="C46" s="61" t="str">
        <f ca="1">IFERROR(__xludf.DUMMYFUNCTION("""COMPUTED_VALUE"""),"#10")</f>
        <v>#10</v>
      </c>
      <c r="D46" s="61" t="str">
        <f ca="1">IFERROR(__xludf.DUMMYFUNCTION("""COMPUTED_VALUE"""),"1-1.25""")</f>
        <v>1-1.25"</v>
      </c>
      <c r="E46" s="61" t="str">
        <f ca="1">IFERROR(__xludf.DUMMYFUNCTION("""COMPUTED_VALUE"""),"5-6'")</f>
        <v>5-6'</v>
      </c>
      <c r="F46" s="62">
        <f ca="1">IFERROR(__xludf.DUMMYFUNCTION("""COMPUTED_VALUE"""),6)</f>
        <v>6</v>
      </c>
      <c r="G46" s="63">
        <f ca="1">IFERROR(__xludf.DUMMYFUNCTION("""COMPUTED_VALUE"""),100)</f>
        <v>100</v>
      </c>
    </row>
    <row r="47" spans="1:7" x14ac:dyDescent="0.2">
      <c r="A47" s="61" t="str">
        <f ca="1">IFERROR(__xludf.DUMMYFUNCTION("""COMPUTED_VALUE"""),"Apple - Winesap")</f>
        <v>Apple - Winesap</v>
      </c>
      <c r="B47" s="61">
        <f ca="1">IFERROR(__xludf.DUMMYFUNCTION("""COMPUTED_VALUE"""),15)</f>
        <v>15</v>
      </c>
      <c r="C47" s="61" t="str">
        <f ca="1">IFERROR(__xludf.DUMMYFUNCTION("""COMPUTED_VALUE"""),"#15")</f>
        <v>#15</v>
      </c>
      <c r="D47" s="61" t="str">
        <f ca="1">IFERROR(__xludf.DUMMYFUNCTION("""COMPUTED_VALUE"""),"1-1.25""")</f>
        <v>1-1.25"</v>
      </c>
      <c r="E47" s="61" t="str">
        <f ca="1">IFERROR(__xludf.DUMMYFUNCTION("""COMPUTED_VALUE"""),"9-10'")</f>
        <v>9-10'</v>
      </c>
      <c r="F47" s="62">
        <f ca="1">IFERROR(__xludf.DUMMYFUNCTION("""COMPUTED_VALUE"""),8)</f>
        <v>8</v>
      </c>
      <c r="G47" s="63">
        <f ca="1">IFERROR(__xludf.DUMMYFUNCTION("""COMPUTED_VALUE"""),150)</f>
        <v>150</v>
      </c>
    </row>
    <row r="48" spans="1:7" x14ac:dyDescent="0.2">
      <c r="A48" s="61" t="str">
        <f ca="1">IFERROR(__xludf.DUMMYFUNCTION("""COMPUTED_VALUE"""),"Apple - Wolf River")</f>
        <v>Apple - Wolf River</v>
      </c>
      <c r="B48" s="61">
        <f ca="1">IFERROR(__xludf.DUMMYFUNCTION("""COMPUTED_VALUE"""),5)</f>
        <v>5</v>
      </c>
      <c r="C48" s="61" t="str">
        <f ca="1">IFERROR(__xludf.DUMMYFUNCTION("""COMPUTED_VALUE"""),"#10")</f>
        <v>#10</v>
      </c>
      <c r="D48" s="61" t="str">
        <f ca="1">IFERROR(__xludf.DUMMYFUNCTION("""COMPUTED_VALUE"""),"1.25-1.25""")</f>
        <v>1.25-1.25"</v>
      </c>
      <c r="E48" s="61" t="str">
        <f ca="1">IFERROR(__xludf.DUMMYFUNCTION("""COMPUTED_VALUE"""),"10-11'")</f>
        <v>10-11'</v>
      </c>
      <c r="F48" s="62">
        <f ca="1">IFERROR(__xludf.DUMMYFUNCTION("""COMPUTED_VALUE"""),9)</f>
        <v>9</v>
      </c>
      <c r="G48" s="63">
        <f ca="1">IFERROR(__xludf.DUMMYFUNCTION("""COMPUTED_VALUE"""),100)</f>
        <v>100</v>
      </c>
    </row>
    <row r="49" spans="1:7" x14ac:dyDescent="0.2">
      <c r="A49" s="61" t="str">
        <f ca="1">IFERROR(__xludf.DUMMYFUNCTION("""COMPUTED_VALUE"""),"Apple - Wolf River")</f>
        <v>Apple - Wolf River</v>
      </c>
      <c r="B49" s="61"/>
      <c r="C49" s="61" t="str">
        <f ca="1">IFERROR(__xludf.DUMMYFUNCTION("""COMPUTED_VALUE"""),"#5")</f>
        <v>#5</v>
      </c>
      <c r="D49" s="61" t="str">
        <f ca="1">IFERROR(__xludf.DUMMYFUNCTION("""COMPUTED_VALUE"""),"0.75-1""")</f>
        <v>0.75-1"</v>
      </c>
      <c r="E49" s="61" t="str">
        <f ca="1">IFERROR(__xludf.DUMMYFUNCTION("""COMPUTED_VALUE"""),"6-10'")</f>
        <v>6-10'</v>
      </c>
      <c r="F49" s="62">
        <f ca="1">IFERROR(__xludf.DUMMYFUNCTION("""COMPUTED_VALUE"""),120)</f>
        <v>120</v>
      </c>
      <c r="G49" s="63">
        <f ca="1">IFERROR(__xludf.DUMMYFUNCTION("""COMPUTED_VALUE"""),55)</f>
        <v>55</v>
      </c>
    </row>
    <row r="50" spans="1:7" x14ac:dyDescent="0.2">
      <c r="A50" s="61" t="str">
        <f ca="1">IFERROR(__xludf.DUMMYFUNCTION("""COMPUTED_VALUE"""),"Apricot - Moorpark")</f>
        <v>Apricot - Moorpark</v>
      </c>
      <c r="B50" s="61">
        <f ca="1">IFERROR(__xludf.DUMMYFUNCTION("""COMPUTED_VALUE"""),5)</f>
        <v>5</v>
      </c>
      <c r="C50" s="61" t="str">
        <f ca="1">IFERROR(__xludf.DUMMYFUNCTION("""COMPUTED_VALUE"""),"#5")</f>
        <v>#5</v>
      </c>
      <c r="D50" s="61" t="str">
        <f ca="1">IFERROR(__xludf.DUMMYFUNCTION("""COMPUTED_VALUE"""),"0.75-1""")</f>
        <v>0.75-1"</v>
      </c>
      <c r="E50" s="61" t="str">
        <f ca="1">IFERROR(__xludf.DUMMYFUNCTION("""COMPUTED_VALUE"""),"5-6.5'")</f>
        <v>5-6.5'</v>
      </c>
      <c r="F50" s="62">
        <f ca="1">IFERROR(__xludf.DUMMYFUNCTION("""COMPUTED_VALUE"""),14)</f>
        <v>14</v>
      </c>
      <c r="G50" s="63">
        <f ca="1">IFERROR(__xludf.DUMMYFUNCTION("""COMPUTED_VALUE"""),70)</f>
        <v>70</v>
      </c>
    </row>
    <row r="51" spans="1:7" x14ac:dyDescent="0.2">
      <c r="A51" s="61" t="str">
        <f ca="1">IFERROR(__xludf.DUMMYFUNCTION("""COMPUTED_VALUE"""),"Asian Pear - Hosui")</f>
        <v>Asian Pear - Hosui</v>
      </c>
      <c r="B51" s="61">
        <f ca="1">IFERROR(__xludf.DUMMYFUNCTION("""COMPUTED_VALUE"""),7)</f>
        <v>7</v>
      </c>
      <c r="C51" s="61" t="str">
        <f ca="1">IFERROR(__xludf.DUMMYFUNCTION("""COMPUTED_VALUE"""),"#7")</f>
        <v>#7</v>
      </c>
      <c r="D51" s="61" t="str">
        <f ca="1">IFERROR(__xludf.DUMMYFUNCTION("""COMPUTED_VALUE"""),"1-1.25""")</f>
        <v>1-1.25"</v>
      </c>
      <c r="E51" s="61" t="str">
        <f ca="1">IFERROR(__xludf.DUMMYFUNCTION("""COMPUTED_VALUE"""),"8.5-10'")</f>
        <v>8.5-10'</v>
      </c>
      <c r="F51" s="62">
        <f ca="1">IFERROR(__xludf.DUMMYFUNCTION("""COMPUTED_VALUE"""),3)</f>
        <v>3</v>
      </c>
      <c r="G51" s="63">
        <f ca="1">IFERROR(__xludf.DUMMYFUNCTION("""COMPUTED_VALUE"""),80)</f>
        <v>80</v>
      </c>
    </row>
    <row r="52" spans="1:7" x14ac:dyDescent="0.2">
      <c r="A52" s="61" t="str">
        <f ca="1">IFERROR(__xludf.DUMMYFUNCTION("""COMPUTED_VALUE"""),"Asian Pear - Kosui")</f>
        <v>Asian Pear - Kosui</v>
      </c>
      <c r="B52" s="61">
        <f ca="1">IFERROR(__xludf.DUMMYFUNCTION("""COMPUTED_VALUE"""),7)</f>
        <v>7</v>
      </c>
      <c r="C52" s="61" t="str">
        <f ca="1">IFERROR(__xludf.DUMMYFUNCTION("""COMPUTED_VALUE"""),"#7")</f>
        <v>#7</v>
      </c>
      <c r="D52" s="61" t="str">
        <f ca="1">IFERROR(__xludf.DUMMYFUNCTION("""COMPUTED_VALUE"""),"0.75-1.5""")</f>
        <v>0.75-1.5"</v>
      </c>
      <c r="E52" s="61" t="str">
        <f ca="1">IFERROR(__xludf.DUMMYFUNCTION("""COMPUTED_VALUE"""),"6-11'")</f>
        <v>6-11'</v>
      </c>
      <c r="F52" s="62">
        <f ca="1">IFERROR(__xludf.DUMMYFUNCTION("""COMPUTED_VALUE"""),73)</f>
        <v>73</v>
      </c>
      <c r="G52" s="63">
        <f ca="1">IFERROR(__xludf.DUMMYFUNCTION("""COMPUTED_VALUE"""),80)</f>
        <v>80</v>
      </c>
    </row>
    <row r="53" spans="1:7" x14ac:dyDescent="0.2">
      <c r="A53" s="61" t="str">
        <f ca="1">IFERROR(__xludf.DUMMYFUNCTION("""COMPUTED_VALUE"""),"Asian Pear - Olympic")</f>
        <v>Asian Pear - Olympic</v>
      </c>
      <c r="B53" s="61">
        <f ca="1">IFERROR(__xludf.DUMMYFUNCTION("""COMPUTED_VALUE"""),5)</f>
        <v>5</v>
      </c>
      <c r="C53" s="61" t="str">
        <f ca="1">IFERROR(__xludf.DUMMYFUNCTION("""COMPUTED_VALUE"""),"#5")</f>
        <v>#5</v>
      </c>
      <c r="D53" s="61" t="str">
        <f ca="1">IFERROR(__xludf.DUMMYFUNCTION("""COMPUTED_VALUE"""),"0.5-1""")</f>
        <v>0.5-1"</v>
      </c>
      <c r="E53" s="61" t="str">
        <f ca="1">IFERROR(__xludf.DUMMYFUNCTION("""COMPUTED_VALUE"""),"6-8'")</f>
        <v>6-8'</v>
      </c>
      <c r="F53" s="62">
        <f ca="1">IFERROR(__xludf.DUMMYFUNCTION("""COMPUTED_VALUE"""),38)</f>
        <v>38</v>
      </c>
      <c r="G53" s="63">
        <f ca="1">IFERROR(__xludf.DUMMYFUNCTION("""COMPUTED_VALUE"""),55)</f>
        <v>55</v>
      </c>
    </row>
    <row r="54" spans="1:7" x14ac:dyDescent="0.2">
      <c r="A54" s="61" t="str">
        <f ca="1">IFERROR(__xludf.DUMMYFUNCTION("""COMPUTED_VALUE"""),"Asian Pear - Olympic")</f>
        <v>Asian Pear - Olympic</v>
      </c>
      <c r="B54" s="61">
        <f ca="1">IFERROR(__xludf.DUMMYFUNCTION("""COMPUTED_VALUE"""),7)</f>
        <v>7</v>
      </c>
      <c r="C54" s="61" t="str">
        <f ca="1">IFERROR(__xludf.DUMMYFUNCTION("""COMPUTED_VALUE"""),"#7")</f>
        <v>#7</v>
      </c>
      <c r="D54" s="61" t="str">
        <f ca="1">IFERROR(__xludf.DUMMYFUNCTION("""COMPUTED_VALUE"""),"1-1.5""")</f>
        <v>1-1.5"</v>
      </c>
      <c r="E54" s="61" t="str">
        <f ca="1">IFERROR(__xludf.DUMMYFUNCTION("""COMPUTED_VALUE"""),"6-11'")</f>
        <v>6-11'</v>
      </c>
      <c r="F54" s="62">
        <f ca="1">IFERROR(__xludf.DUMMYFUNCTION("""COMPUTED_VALUE"""),116)</f>
        <v>116</v>
      </c>
      <c r="G54" s="63">
        <f ca="1">IFERROR(__xludf.DUMMYFUNCTION("""COMPUTED_VALUE"""),80)</f>
        <v>80</v>
      </c>
    </row>
    <row r="55" spans="1:7" x14ac:dyDescent="0.2">
      <c r="A55" s="61" t="str">
        <f ca="1">IFERROR(__xludf.DUMMYFUNCTION("""COMPUTED_VALUE"""),"Asian Pear - Shinko")</f>
        <v>Asian Pear - Shinko</v>
      </c>
      <c r="B55" s="61">
        <f ca="1">IFERROR(__xludf.DUMMYFUNCTION("""COMPUTED_VALUE"""),5)</f>
        <v>5</v>
      </c>
      <c r="C55" s="61" t="str">
        <f ca="1">IFERROR(__xludf.DUMMYFUNCTION("""COMPUTED_VALUE"""),"#5")</f>
        <v>#5</v>
      </c>
      <c r="D55" s="61" t="str">
        <f ca="1">IFERROR(__xludf.DUMMYFUNCTION("""COMPUTED_VALUE"""),"0.5-1.25""")</f>
        <v>0.5-1.25"</v>
      </c>
      <c r="E55" s="61" t="str">
        <f ca="1">IFERROR(__xludf.DUMMYFUNCTION("""COMPUTED_VALUE"""),"6-9'")</f>
        <v>6-9'</v>
      </c>
      <c r="F55" s="62">
        <f ca="1">IFERROR(__xludf.DUMMYFUNCTION("""COMPUTED_VALUE"""),59)</f>
        <v>59</v>
      </c>
      <c r="G55" s="63">
        <f ca="1">IFERROR(__xludf.DUMMYFUNCTION("""COMPUTED_VALUE"""),55)</f>
        <v>55</v>
      </c>
    </row>
    <row r="56" spans="1:7" x14ac:dyDescent="0.2">
      <c r="A56" s="61" t="str">
        <f ca="1">IFERROR(__xludf.DUMMYFUNCTION("""COMPUTED_VALUE"""),"Asian Pear - Shinko")</f>
        <v>Asian Pear - Shinko</v>
      </c>
      <c r="B56" s="61">
        <f ca="1">IFERROR(__xludf.DUMMYFUNCTION("""COMPUTED_VALUE"""),7)</f>
        <v>7</v>
      </c>
      <c r="C56" s="61" t="str">
        <f ca="1">IFERROR(__xludf.DUMMYFUNCTION("""COMPUTED_VALUE"""),"#7")</f>
        <v>#7</v>
      </c>
      <c r="D56" s="61" t="str">
        <f ca="1">IFERROR(__xludf.DUMMYFUNCTION("""COMPUTED_VALUE"""),"0.75-1.25""")</f>
        <v>0.75-1.25"</v>
      </c>
      <c r="E56" s="61" t="str">
        <f ca="1">IFERROR(__xludf.DUMMYFUNCTION("""COMPUTED_VALUE"""),"6.5-11'")</f>
        <v>6.5-11'</v>
      </c>
      <c r="F56" s="62">
        <f ca="1">IFERROR(__xludf.DUMMYFUNCTION("""COMPUTED_VALUE"""),32)</f>
        <v>32</v>
      </c>
      <c r="G56" s="63">
        <f ca="1">IFERROR(__xludf.DUMMYFUNCTION("""COMPUTED_VALUE"""),80)</f>
        <v>80</v>
      </c>
    </row>
    <row r="57" spans="1:7" x14ac:dyDescent="0.2">
      <c r="A57" s="61" t="str">
        <f ca="1">IFERROR(__xludf.DUMMYFUNCTION("""COMPUTED_VALUE"""),"Asian Pear - Shinseiki")</f>
        <v>Asian Pear - Shinseiki</v>
      </c>
      <c r="B57" s="61">
        <f ca="1">IFERROR(__xludf.DUMMYFUNCTION("""COMPUTED_VALUE"""),5)</f>
        <v>5</v>
      </c>
      <c r="C57" s="61" t="str">
        <f ca="1">IFERROR(__xludf.DUMMYFUNCTION("""COMPUTED_VALUE"""),"#5")</f>
        <v>#5</v>
      </c>
      <c r="D57" s="61" t="str">
        <f ca="1">IFERROR(__xludf.DUMMYFUNCTION("""COMPUTED_VALUE"""),"0.5-0.75""")</f>
        <v>0.5-0.75"</v>
      </c>
      <c r="E57" s="61" t="str">
        <f ca="1">IFERROR(__xludf.DUMMYFUNCTION("""COMPUTED_VALUE"""),"6-7'")</f>
        <v>6-7'</v>
      </c>
      <c r="F57" s="62">
        <f ca="1">IFERROR(__xludf.DUMMYFUNCTION("""COMPUTED_VALUE"""),88)</f>
        <v>88</v>
      </c>
      <c r="G57" s="63">
        <f ca="1">IFERROR(__xludf.DUMMYFUNCTION("""COMPUTED_VALUE"""),55)</f>
        <v>55</v>
      </c>
    </row>
    <row r="58" spans="1:7" x14ac:dyDescent="0.2">
      <c r="A58" s="61" t="str">
        <f ca="1">IFERROR(__xludf.DUMMYFUNCTION("""COMPUTED_VALUE"""),"Black Chokeberry")</f>
        <v>Black Chokeberry</v>
      </c>
      <c r="B58" s="61">
        <f ca="1">IFERROR(__xludf.DUMMYFUNCTION("""COMPUTED_VALUE"""),5)</f>
        <v>5</v>
      </c>
      <c r="C58" s="61" t="str">
        <f ca="1">IFERROR(__xludf.DUMMYFUNCTION("""COMPUTED_VALUE"""),"#5")</f>
        <v>#5</v>
      </c>
      <c r="D58" s="61" t="str">
        <f ca="1">IFERROR(__xludf.DUMMYFUNCTION("""COMPUTED_VALUE"""),"Multi")</f>
        <v>Multi</v>
      </c>
      <c r="E58" s="61" t="str">
        <f ca="1">IFERROR(__xludf.DUMMYFUNCTION("""COMPUTED_VALUE"""),"2.5-3'")</f>
        <v>2.5-3'</v>
      </c>
      <c r="F58" s="62">
        <f ca="1">IFERROR(__xludf.DUMMYFUNCTION("""COMPUTED_VALUE"""),14)</f>
        <v>14</v>
      </c>
      <c r="G58" s="63">
        <f ca="1">IFERROR(__xludf.DUMMYFUNCTION("""COMPUTED_VALUE"""),37)</f>
        <v>37</v>
      </c>
    </row>
    <row r="59" spans="1:7" x14ac:dyDescent="0.2">
      <c r="A59" s="61" t="str">
        <f ca="1">IFERROR(__xludf.DUMMYFUNCTION("""COMPUTED_VALUE"""),"Blackberry - Arapaho")</f>
        <v>Blackberry - Arapaho</v>
      </c>
      <c r="B59" s="61">
        <f ca="1">IFERROR(__xludf.DUMMYFUNCTION("""COMPUTED_VALUE"""),5)</f>
        <v>5</v>
      </c>
      <c r="C59" s="61" t="str">
        <f ca="1">IFERROR(__xludf.DUMMYFUNCTION("""COMPUTED_VALUE"""),"#5")</f>
        <v>#5</v>
      </c>
      <c r="D59" s="61" t="str">
        <f ca="1">IFERROR(__xludf.DUMMYFUNCTION("""COMPUTED_VALUE"""),"Vine")</f>
        <v>Vine</v>
      </c>
      <c r="E59" s="61" t="str">
        <f ca="1">IFERROR(__xludf.DUMMYFUNCTION("""COMPUTED_VALUE"""),"0.5-0.5'")</f>
        <v>0.5-0.5'</v>
      </c>
      <c r="F59" s="62">
        <f ca="1">IFERROR(__xludf.DUMMYFUNCTION("""COMPUTED_VALUE"""),143)</f>
        <v>143</v>
      </c>
      <c r="G59" s="63">
        <f ca="1">IFERROR(__xludf.DUMMYFUNCTION("""COMPUTED_VALUE"""),35)</f>
        <v>35</v>
      </c>
    </row>
    <row r="60" spans="1:7" x14ac:dyDescent="0.2">
      <c r="A60" s="61" t="str">
        <f ca="1">IFERROR(__xludf.DUMMYFUNCTION("""COMPUTED_VALUE"""),"Blackberry - Navajo")</f>
        <v>Blackberry - Navajo</v>
      </c>
      <c r="B60" s="61">
        <f ca="1">IFERROR(__xludf.DUMMYFUNCTION("""COMPUTED_VALUE"""),5)</f>
        <v>5</v>
      </c>
      <c r="C60" s="61" t="str">
        <f ca="1">IFERROR(__xludf.DUMMYFUNCTION("""COMPUTED_VALUE"""),"#5")</f>
        <v>#5</v>
      </c>
      <c r="D60" s="61" t="str">
        <f ca="1">IFERROR(__xludf.DUMMYFUNCTION("""COMPUTED_VALUE"""),"Multi")</f>
        <v>Multi</v>
      </c>
      <c r="E60" s="61" t="str">
        <f ca="1">IFERROR(__xludf.DUMMYFUNCTION("""COMPUTED_VALUE"""),"2-3'")</f>
        <v>2-3'</v>
      </c>
      <c r="F60" s="62">
        <f ca="1">IFERROR(__xludf.DUMMYFUNCTION("""COMPUTED_VALUE"""),41)</f>
        <v>41</v>
      </c>
      <c r="G60" s="63">
        <f ca="1">IFERROR(__xludf.DUMMYFUNCTION("""COMPUTED_VALUE"""),35)</f>
        <v>35</v>
      </c>
    </row>
    <row r="61" spans="1:7" x14ac:dyDescent="0.2">
      <c r="A61" s="61" t="str">
        <f ca="1">IFERROR(__xludf.DUMMYFUNCTION("""COMPUTED_VALUE"""),"Blackberry - Ouachita")</f>
        <v>Blackberry - Ouachita</v>
      </c>
      <c r="B61" s="61">
        <f ca="1">IFERROR(__xludf.DUMMYFUNCTION("""COMPUTED_VALUE"""),5)</f>
        <v>5</v>
      </c>
      <c r="C61" s="61" t="str">
        <f ca="1">IFERROR(__xludf.DUMMYFUNCTION("""COMPUTED_VALUE"""),"#5")</f>
        <v>#5</v>
      </c>
      <c r="D61" s="61" t="str">
        <f ca="1">IFERROR(__xludf.DUMMYFUNCTION("""COMPUTED_VALUE"""),"Vine")</f>
        <v>Vine</v>
      </c>
      <c r="E61" s="61" t="str">
        <f ca="1">IFERROR(__xludf.DUMMYFUNCTION("""COMPUTED_VALUE"""),"3-5'")</f>
        <v>3-5'</v>
      </c>
      <c r="F61" s="62">
        <f ca="1">IFERROR(__xludf.DUMMYFUNCTION("""COMPUTED_VALUE"""),29)</f>
        <v>29</v>
      </c>
      <c r="G61" s="63">
        <f ca="1">IFERROR(__xludf.DUMMYFUNCTION("""COMPUTED_VALUE"""),35)</f>
        <v>35</v>
      </c>
    </row>
    <row r="62" spans="1:7" x14ac:dyDescent="0.2">
      <c r="A62" s="61" t="str">
        <f ca="1">IFERROR(__xludf.DUMMYFUNCTION("""COMPUTED_VALUE"""),"Blackberry - Prime-ark 'Freedom'")</f>
        <v>Blackberry - Prime-ark 'Freedom'</v>
      </c>
      <c r="B62" s="61">
        <f ca="1">IFERROR(__xludf.DUMMYFUNCTION("""COMPUTED_VALUE"""),5)</f>
        <v>5</v>
      </c>
      <c r="C62" s="61" t="str">
        <f ca="1">IFERROR(__xludf.DUMMYFUNCTION("""COMPUTED_VALUE"""),"#5")</f>
        <v>#5</v>
      </c>
      <c r="D62" s="61" t="str">
        <f ca="1">IFERROR(__xludf.DUMMYFUNCTION("""COMPUTED_VALUE"""),"Vine")</f>
        <v>Vine</v>
      </c>
      <c r="E62" s="61" t="str">
        <f ca="1">IFERROR(__xludf.DUMMYFUNCTION("""COMPUTED_VALUE"""),"2-3'")</f>
        <v>2-3'</v>
      </c>
      <c r="F62" s="62">
        <f ca="1">IFERROR(__xludf.DUMMYFUNCTION("""COMPUTED_VALUE"""),50)</f>
        <v>50</v>
      </c>
      <c r="G62" s="63">
        <f ca="1">IFERROR(__xludf.DUMMYFUNCTION("""COMPUTED_VALUE"""),35)</f>
        <v>35</v>
      </c>
    </row>
    <row r="63" spans="1:7" x14ac:dyDescent="0.2">
      <c r="A63" s="61" t="str">
        <f ca="1">IFERROR(__xludf.DUMMYFUNCTION("""COMPUTED_VALUE"""),"Blueberry - Blue Crop")</f>
        <v>Blueberry - Blue Crop</v>
      </c>
      <c r="B63" s="61">
        <f ca="1">IFERROR(__xludf.DUMMYFUNCTION("""COMPUTED_VALUE"""),3)</f>
        <v>3</v>
      </c>
      <c r="C63" s="61" t="str">
        <f ca="1">IFERROR(__xludf.DUMMYFUNCTION("""COMPUTED_VALUE"""),"#3p")</f>
        <v>#3p</v>
      </c>
      <c r="D63" s="61" t="str">
        <f ca="1">IFERROR(__xludf.DUMMYFUNCTION("""COMPUTED_VALUE"""),"Multi")</f>
        <v>Multi</v>
      </c>
      <c r="E63" s="61" t="str">
        <f ca="1">IFERROR(__xludf.DUMMYFUNCTION("""COMPUTED_VALUE"""),"2.5-3'")</f>
        <v>2.5-3'</v>
      </c>
      <c r="F63" s="62">
        <f ca="1">IFERROR(__xludf.DUMMYFUNCTION("""COMPUTED_VALUE"""),3)</f>
        <v>3</v>
      </c>
      <c r="G63" s="63">
        <f ca="1">IFERROR(__xludf.DUMMYFUNCTION("""COMPUTED_VALUE"""),35)</f>
        <v>35</v>
      </c>
    </row>
    <row r="64" spans="1:7" x14ac:dyDescent="0.2">
      <c r="A64" s="61" t="str">
        <f ca="1">IFERROR(__xludf.DUMMYFUNCTION("""COMPUTED_VALUE"""),"Cherry (Sour) - Montmorency")</f>
        <v>Cherry (Sour) - Montmorency</v>
      </c>
      <c r="B64" s="61">
        <f ca="1">IFERROR(__xludf.DUMMYFUNCTION("""COMPUTED_VALUE"""),5)</f>
        <v>5</v>
      </c>
      <c r="C64" s="61" t="str">
        <f ca="1">IFERROR(__xludf.DUMMYFUNCTION("""COMPUTED_VALUE"""),"#5")</f>
        <v>#5</v>
      </c>
      <c r="D64" s="61" t="str">
        <f ca="1">IFERROR(__xludf.DUMMYFUNCTION("""COMPUTED_VALUE"""),"0.75-1.25""")</f>
        <v>0.75-1.25"</v>
      </c>
      <c r="E64" s="61" t="str">
        <f ca="1">IFERROR(__xludf.DUMMYFUNCTION("""COMPUTED_VALUE"""),"5.5-8'")</f>
        <v>5.5-8'</v>
      </c>
      <c r="F64" s="62">
        <f ca="1">IFERROR(__xludf.DUMMYFUNCTION("""COMPUTED_VALUE"""),1)</f>
        <v>1</v>
      </c>
      <c r="G64" s="63">
        <f ca="1">IFERROR(__xludf.DUMMYFUNCTION("""COMPUTED_VALUE"""),80)</f>
        <v>80</v>
      </c>
    </row>
    <row r="65" spans="1:7" x14ac:dyDescent="0.2">
      <c r="A65" s="61" t="str">
        <f ca="1">IFERROR(__xludf.DUMMYFUNCTION("""COMPUTED_VALUE"""),"Chestnut - Chinese")</f>
        <v>Chestnut - Chinese</v>
      </c>
      <c r="B65" s="61">
        <f ca="1">IFERROR(__xludf.DUMMYFUNCTION("""COMPUTED_VALUE"""),5)</f>
        <v>5</v>
      </c>
      <c r="C65" s="61" t="str">
        <f ca="1">IFERROR(__xludf.DUMMYFUNCTION("""COMPUTED_VALUE"""),"#5")</f>
        <v>#5</v>
      </c>
      <c r="D65" s="61" t="str">
        <f ca="1">IFERROR(__xludf.DUMMYFUNCTION("""COMPUTED_VALUE"""),"0.25-1.25""")</f>
        <v>0.25-1.25"</v>
      </c>
      <c r="E65" s="61" t="str">
        <f ca="1">IFERROR(__xludf.DUMMYFUNCTION("""COMPUTED_VALUE"""),"4-10'")</f>
        <v>4-10'</v>
      </c>
      <c r="F65" s="62">
        <f ca="1">IFERROR(__xludf.DUMMYFUNCTION("""COMPUTED_VALUE"""),204)</f>
        <v>204</v>
      </c>
      <c r="G65" s="63">
        <f ca="1">IFERROR(__xludf.DUMMYFUNCTION("""COMPUTED_VALUE"""),55)</f>
        <v>55</v>
      </c>
    </row>
    <row r="66" spans="1:7" x14ac:dyDescent="0.2">
      <c r="A66" s="61" t="str">
        <f ca="1">IFERROR(__xludf.DUMMYFUNCTION("""COMPUTED_VALUE"""),"Currant - Rovada Red")</f>
        <v>Currant - Rovada Red</v>
      </c>
      <c r="B66" s="61">
        <f ca="1">IFERROR(__xludf.DUMMYFUNCTION("""COMPUTED_VALUE"""),5)</f>
        <v>5</v>
      </c>
      <c r="C66" s="61" t="str">
        <f ca="1">IFERROR(__xludf.DUMMYFUNCTION("""COMPUTED_VALUE"""),"#5")</f>
        <v>#5</v>
      </c>
      <c r="D66" s="61" t="str">
        <f ca="1">IFERROR(__xludf.DUMMYFUNCTION("""COMPUTED_VALUE"""),"Multi")</f>
        <v>Multi</v>
      </c>
      <c r="E66" s="61" t="str">
        <f ca="1">IFERROR(__xludf.DUMMYFUNCTION("""COMPUTED_VALUE"""),"1-2'")</f>
        <v>1-2'</v>
      </c>
      <c r="F66" s="62">
        <f ca="1">IFERROR(__xludf.DUMMYFUNCTION("""COMPUTED_VALUE"""),80)</f>
        <v>80</v>
      </c>
      <c r="G66" s="63">
        <f ca="1">IFERROR(__xludf.DUMMYFUNCTION("""COMPUTED_VALUE"""),45)</f>
        <v>45</v>
      </c>
    </row>
    <row r="67" spans="1:7" x14ac:dyDescent="0.2">
      <c r="A67" s="61" t="str">
        <f ca="1">IFERROR(__xludf.DUMMYFUNCTION("""COMPUTED_VALUE"""),"Elderberry")</f>
        <v>Elderberry</v>
      </c>
      <c r="B67" s="61">
        <f ca="1">IFERROR(__xludf.DUMMYFUNCTION("""COMPUTED_VALUE"""),5)</f>
        <v>5</v>
      </c>
      <c r="C67" s="61" t="str">
        <f ca="1">IFERROR(__xludf.DUMMYFUNCTION("""COMPUTED_VALUE"""),"#5")</f>
        <v>#5</v>
      </c>
      <c r="D67" s="61" t="str">
        <f ca="1">IFERROR(__xludf.DUMMYFUNCTION("""COMPUTED_VALUE"""),"Multi")</f>
        <v>Multi</v>
      </c>
      <c r="E67" s="61" t="str">
        <f ca="1">IFERROR(__xludf.DUMMYFUNCTION("""COMPUTED_VALUE"""),"1-5'")</f>
        <v>1-5'</v>
      </c>
      <c r="F67" s="62">
        <f ca="1">IFERROR(__xludf.DUMMYFUNCTION("""COMPUTED_VALUE"""),163)</f>
        <v>163</v>
      </c>
      <c r="G67" s="63">
        <f ca="1">IFERROR(__xludf.DUMMYFUNCTION("""COMPUTED_VALUE"""),35)</f>
        <v>35</v>
      </c>
    </row>
    <row r="68" spans="1:7" x14ac:dyDescent="0.2">
      <c r="A68" s="61" t="str">
        <f ca="1">IFERROR(__xludf.DUMMYFUNCTION("""COMPUTED_VALUE"""),"Elderberry - Pocahontas")</f>
        <v>Elderberry - Pocahontas</v>
      </c>
      <c r="B68" s="61">
        <f ca="1">IFERROR(__xludf.DUMMYFUNCTION("""COMPUTED_VALUE"""),5)</f>
        <v>5</v>
      </c>
      <c r="C68" s="61" t="str">
        <f ca="1">IFERROR(__xludf.DUMMYFUNCTION("""COMPUTED_VALUE"""),"#5")</f>
        <v>#5</v>
      </c>
      <c r="D68" s="61" t="str">
        <f ca="1">IFERROR(__xludf.DUMMYFUNCTION("""COMPUTED_VALUE"""),"Multi")</f>
        <v>Multi</v>
      </c>
      <c r="E68" s="61" t="str">
        <f ca="1">IFERROR(__xludf.DUMMYFUNCTION("""COMPUTED_VALUE"""),"1.5-4'")</f>
        <v>1.5-4'</v>
      </c>
      <c r="F68" s="62">
        <f ca="1">IFERROR(__xludf.DUMMYFUNCTION("""COMPUTED_VALUE"""),27)</f>
        <v>27</v>
      </c>
      <c r="G68" s="63">
        <f ca="1">IFERROR(__xludf.DUMMYFUNCTION("""COMPUTED_VALUE"""),35)</f>
        <v>35</v>
      </c>
    </row>
    <row r="69" spans="1:7" x14ac:dyDescent="0.2">
      <c r="A69" s="61" t="str">
        <f ca="1">IFERROR(__xludf.DUMMYFUNCTION("""COMPUTED_VALUE"""),"Elderberry - York")</f>
        <v>Elderberry - York</v>
      </c>
      <c r="B69" s="61">
        <f ca="1">IFERROR(__xludf.DUMMYFUNCTION("""COMPUTED_VALUE"""),5)</f>
        <v>5</v>
      </c>
      <c r="C69" s="61" t="str">
        <f ca="1">IFERROR(__xludf.DUMMYFUNCTION("""COMPUTED_VALUE"""),"#5")</f>
        <v>#5</v>
      </c>
      <c r="D69" s="61" t="str">
        <f ca="1">IFERROR(__xludf.DUMMYFUNCTION("""COMPUTED_VALUE"""),"Multi")</f>
        <v>Multi</v>
      </c>
      <c r="E69" s="61" t="str">
        <f ca="1">IFERROR(__xludf.DUMMYFUNCTION("""COMPUTED_VALUE"""),"3-5'")</f>
        <v>3-5'</v>
      </c>
      <c r="F69" s="62">
        <f ca="1">IFERROR(__xludf.DUMMYFUNCTION("""COMPUTED_VALUE"""),141)</f>
        <v>141</v>
      </c>
      <c r="G69" s="63">
        <f ca="1">IFERROR(__xludf.DUMMYFUNCTION("""COMPUTED_VALUE"""),35)</f>
        <v>35</v>
      </c>
    </row>
    <row r="70" spans="1:7" x14ac:dyDescent="0.2">
      <c r="A70" s="61" t="str">
        <f ca="1">IFERROR(__xludf.DUMMYFUNCTION("""COMPUTED_VALUE"""),"Fig - Black Mission")</f>
        <v>Fig - Black Mission</v>
      </c>
      <c r="B70" s="61">
        <f ca="1">IFERROR(__xludf.DUMMYFUNCTION("""COMPUTED_VALUE"""),5)</f>
        <v>5</v>
      </c>
      <c r="C70" s="61" t="str">
        <f ca="1">IFERROR(__xludf.DUMMYFUNCTION("""COMPUTED_VALUE"""),"#5")</f>
        <v>#5</v>
      </c>
      <c r="D70" s="61" t="str">
        <f ca="1">IFERROR(__xludf.DUMMYFUNCTION("""COMPUTED_VALUE"""),"Multi")</f>
        <v>Multi</v>
      </c>
      <c r="E70" s="61" t="str">
        <f ca="1">IFERROR(__xludf.DUMMYFUNCTION("""COMPUTED_VALUE"""),"0.5-3'")</f>
        <v>0.5-3'</v>
      </c>
      <c r="F70" s="62">
        <f ca="1">IFERROR(__xludf.DUMMYFUNCTION("""COMPUTED_VALUE"""),92)</f>
        <v>92</v>
      </c>
      <c r="G70" s="63">
        <f ca="1">IFERROR(__xludf.DUMMYFUNCTION("""COMPUTED_VALUE"""),35)</f>
        <v>35</v>
      </c>
    </row>
    <row r="71" spans="1:7" x14ac:dyDescent="0.2">
      <c r="A71" s="61" t="str">
        <f ca="1">IFERROR(__xludf.DUMMYFUNCTION("""COMPUTED_VALUE"""),"Fig - Brown Turkey")</f>
        <v>Fig - Brown Turkey</v>
      </c>
      <c r="B71" s="61">
        <f ca="1">IFERROR(__xludf.DUMMYFUNCTION("""COMPUTED_VALUE"""),5)</f>
        <v>5</v>
      </c>
      <c r="C71" s="61" t="str">
        <f ca="1">IFERROR(__xludf.DUMMYFUNCTION("""COMPUTED_VALUE"""),"#5")</f>
        <v>#5</v>
      </c>
      <c r="D71" s="61" t="str">
        <f ca="1">IFERROR(__xludf.DUMMYFUNCTION("""COMPUTED_VALUE"""),"Multi")</f>
        <v>Multi</v>
      </c>
      <c r="E71" s="61" t="str">
        <f ca="1">IFERROR(__xludf.DUMMYFUNCTION("""COMPUTED_VALUE"""),"1-2'")</f>
        <v>1-2'</v>
      </c>
      <c r="F71" s="62">
        <f ca="1">IFERROR(__xludf.DUMMYFUNCTION("""COMPUTED_VALUE"""),21)</f>
        <v>21</v>
      </c>
      <c r="G71" s="63">
        <f ca="1">IFERROR(__xludf.DUMMYFUNCTION("""COMPUTED_VALUE"""),35)</f>
        <v>35</v>
      </c>
    </row>
    <row r="72" spans="1:7" x14ac:dyDescent="0.2">
      <c r="A72" s="61" t="str">
        <f ca="1">IFERROR(__xludf.DUMMYFUNCTION("""COMPUTED_VALUE"""),"Fig - Celeste")</f>
        <v>Fig - Celeste</v>
      </c>
      <c r="B72" s="61">
        <f ca="1">IFERROR(__xludf.DUMMYFUNCTION("""COMPUTED_VALUE"""),5)</f>
        <v>5</v>
      </c>
      <c r="C72" s="61" t="str">
        <f ca="1">IFERROR(__xludf.DUMMYFUNCTION("""COMPUTED_VALUE"""),"#5")</f>
        <v>#5</v>
      </c>
      <c r="D72" s="61" t="str">
        <f ca="1">IFERROR(__xludf.DUMMYFUNCTION("""COMPUTED_VALUE"""),"0.25-0.25""")</f>
        <v>0.25-0.25"</v>
      </c>
      <c r="E72" s="61" t="str">
        <f ca="1">IFERROR(__xludf.DUMMYFUNCTION("""COMPUTED_VALUE"""),"0.25-3'")</f>
        <v>0.25-3'</v>
      </c>
      <c r="F72" s="62">
        <f ca="1">IFERROR(__xludf.DUMMYFUNCTION("""COMPUTED_VALUE"""),55)</f>
        <v>55</v>
      </c>
      <c r="G72" s="63">
        <f ca="1">IFERROR(__xludf.DUMMYFUNCTION("""COMPUTED_VALUE"""),35)</f>
        <v>35</v>
      </c>
    </row>
    <row r="73" spans="1:7" x14ac:dyDescent="0.2">
      <c r="A73" s="61" t="str">
        <f ca="1">IFERROR(__xludf.DUMMYFUNCTION("""COMPUTED_VALUE"""),"Fig - Celeste")</f>
        <v>Fig - Celeste</v>
      </c>
      <c r="B73" s="61"/>
      <c r="C73" s="61" t="str">
        <f ca="1">IFERROR(__xludf.DUMMYFUNCTION("""COMPUTED_VALUE"""),"#5")</f>
        <v>#5</v>
      </c>
      <c r="D73" s="61" t="str">
        <f ca="1">IFERROR(__xludf.DUMMYFUNCTION("""COMPUTED_VALUE"""),"Multi")</f>
        <v>Multi</v>
      </c>
      <c r="E73" s="61" t="str">
        <f ca="1">IFERROR(__xludf.DUMMYFUNCTION("""COMPUTED_VALUE"""),"0.25-3'")</f>
        <v>0.25-3'</v>
      </c>
      <c r="F73" s="62">
        <f ca="1">IFERROR(__xludf.DUMMYFUNCTION("""COMPUTED_VALUE"""),32)</f>
        <v>32</v>
      </c>
      <c r="G73" s="63">
        <f ca="1">IFERROR(__xludf.DUMMYFUNCTION("""COMPUTED_VALUE"""),35)</f>
        <v>35</v>
      </c>
    </row>
    <row r="74" spans="1:7" x14ac:dyDescent="0.2">
      <c r="A74" s="61" t="str">
        <f ca="1">IFERROR(__xludf.DUMMYFUNCTION("""COMPUTED_VALUE"""),"Fig - Chicago Hardy")</f>
        <v>Fig - Chicago Hardy</v>
      </c>
      <c r="B74" s="61">
        <f ca="1">IFERROR(__xludf.DUMMYFUNCTION("""COMPUTED_VALUE"""),5)</f>
        <v>5</v>
      </c>
      <c r="C74" s="61" t="str">
        <f ca="1">IFERROR(__xludf.DUMMYFUNCTION("""COMPUTED_VALUE"""),"#5")</f>
        <v>#5</v>
      </c>
      <c r="D74" s="61" t="str">
        <f ca="1">IFERROR(__xludf.DUMMYFUNCTION("""COMPUTED_VALUE"""),"Multi")</f>
        <v>Multi</v>
      </c>
      <c r="E74" s="61" t="str">
        <f ca="1">IFERROR(__xludf.DUMMYFUNCTION("""COMPUTED_VALUE"""),"2-4'")</f>
        <v>2-4'</v>
      </c>
      <c r="F74" s="62">
        <f ca="1">IFERROR(__xludf.DUMMYFUNCTION("""COMPUTED_VALUE"""),187)</f>
        <v>187</v>
      </c>
      <c r="G74" s="63">
        <f ca="1">IFERROR(__xludf.DUMMYFUNCTION("""COMPUTED_VALUE"""),35)</f>
        <v>35</v>
      </c>
    </row>
    <row r="75" spans="1:7" x14ac:dyDescent="0.2">
      <c r="A75" s="61" t="str">
        <f ca="1">IFERROR(__xludf.DUMMYFUNCTION("""COMPUTED_VALUE"""),"Fig - Fignomenal")</f>
        <v>Fig - Fignomenal</v>
      </c>
      <c r="B75" s="61" t="str">
        <f ca="1">IFERROR(__xludf.DUMMYFUNCTION("""COMPUTED_VALUE"""),"5")</f>
        <v>5</v>
      </c>
      <c r="C75" s="61" t="str">
        <f ca="1">IFERROR(__xludf.DUMMYFUNCTION("""COMPUTED_VALUE"""),"#5")</f>
        <v>#5</v>
      </c>
      <c r="D75" s="61" t="str">
        <f ca="1">IFERROR(__xludf.DUMMYFUNCTION("""COMPUTED_VALUE"""),"Multi")</f>
        <v>Multi</v>
      </c>
      <c r="E75" s="61" t="str">
        <f ca="1">IFERROR(__xludf.DUMMYFUNCTION("""COMPUTED_VALUE"""),"0.5-1'")</f>
        <v>0.5-1'</v>
      </c>
      <c r="F75" s="62">
        <f ca="1">IFERROR(__xludf.DUMMYFUNCTION("""COMPUTED_VALUE"""),60)</f>
        <v>60</v>
      </c>
      <c r="G75" s="63">
        <f ca="1">IFERROR(__xludf.DUMMYFUNCTION("""COMPUTED_VALUE"""),35)</f>
        <v>35</v>
      </c>
    </row>
    <row r="76" spans="1:7" x14ac:dyDescent="0.2">
      <c r="A76" s="61" t="str">
        <f ca="1">IFERROR(__xludf.DUMMYFUNCTION("""COMPUTED_VALUE"""),"Fig - Italian Honey")</f>
        <v>Fig - Italian Honey</v>
      </c>
      <c r="B76" s="61">
        <f ca="1">IFERROR(__xludf.DUMMYFUNCTION("""COMPUTED_VALUE"""),5)</f>
        <v>5</v>
      </c>
      <c r="C76" s="61" t="str">
        <f ca="1">IFERROR(__xludf.DUMMYFUNCTION("""COMPUTED_VALUE"""),"#5")</f>
        <v>#5</v>
      </c>
      <c r="D76" s="61" t="str">
        <f ca="1">IFERROR(__xludf.DUMMYFUNCTION("""COMPUTED_VALUE"""),"Multi")</f>
        <v>Multi</v>
      </c>
      <c r="E76" s="61" t="str">
        <f ca="1">IFERROR(__xludf.DUMMYFUNCTION("""COMPUTED_VALUE"""),"1.5-2.5'")</f>
        <v>1.5-2.5'</v>
      </c>
      <c r="F76" s="62">
        <f ca="1">IFERROR(__xludf.DUMMYFUNCTION("""COMPUTED_VALUE"""),12)</f>
        <v>12</v>
      </c>
      <c r="G76" s="63">
        <f ca="1">IFERROR(__xludf.DUMMYFUNCTION("""COMPUTED_VALUE"""),35)</f>
        <v>35</v>
      </c>
    </row>
    <row r="77" spans="1:7" x14ac:dyDescent="0.2">
      <c r="A77" s="61" t="str">
        <f ca="1">IFERROR(__xludf.DUMMYFUNCTION("""COMPUTED_VALUE"""),"Fig - Olympian")</f>
        <v>Fig - Olympian</v>
      </c>
      <c r="B77" s="61">
        <f ca="1">IFERROR(__xludf.DUMMYFUNCTION("""COMPUTED_VALUE"""),5)</f>
        <v>5</v>
      </c>
      <c r="C77" s="61" t="str">
        <f ca="1">IFERROR(__xludf.DUMMYFUNCTION("""COMPUTED_VALUE"""),"#5")</f>
        <v>#5</v>
      </c>
      <c r="D77" s="61" t="str">
        <f ca="1">IFERROR(__xludf.DUMMYFUNCTION("""COMPUTED_VALUE"""),"Multi")</f>
        <v>Multi</v>
      </c>
      <c r="E77" s="61" t="str">
        <f ca="1">IFERROR(__xludf.DUMMYFUNCTION("""COMPUTED_VALUE"""),"0.25-0.5'")</f>
        <v>0.25-0.5'</v>
      </c>
      <c r="F77" s="62">
        <f ca="1">IFERROR(__xludf.DUMMYFUNCTION("""COMPUTED_VALUE"""),52)</f>
        <v>52</v>
      </c>
      <c r="G77" s="63">
        <f ca="1">IFERROR(__xludf.DUMMYFUNCTION("""COMPUTED_VALUE"""),35)</f>
        <v>35</v>
      </c>
    </row>
    <row r="78" spans="1:7" x14ac:dyDescent="0.2">
      <c r="A78" s="61" t="str">
        <f ca="1">IFERROR(__xludf.DUMMYFUNCTION("""COMPUTED_VALUE"""),"Goji Berry")</f>
        <v>Goji Berry</v>
      </c>
      <c r="B78" s="61">
        <f ca="1">IFERROR(__xludf.DUMMYFUNCTION("""COMPUTED_VALUE"""),5)</f>
        <v>5</v>
      </c>
      <c r="C78" s="61" t="str">
        <f ca="1">IFERROR(__xludf.DUMMYFUNCTION("""COMPUTED_VALUE"""),"#5")</f>
        <v>#5</v>
      </c>
      <c r="D78" s="61" t="str">
        <f ca="1">IFERROR(__xludf.DUMMYFUNCTION("""COMPUTED_VALUE"""),"Multi")</f>
        <v>Multi</v>
      </c>
      <c r="E78" s="61" t="str">
        <f ca="1">IFERROR(__xludf.DUMMYFUNCTION("""COMPUTED_VALUE"""),"0.5-0.5'")</f>
        <v>0.5-0.5'</v>
      </c>
      <c r="F78" s="62">
        <f ca="1">IFERROR(__xludf.DUMMYFUNCTION("""COMPUTED_VALUE"""),38)</f>
        <v>38</v>
      </c>
      <c r="G78" s="63">
        <f ca="1">IFERROR(__xludf.DUMMYFUNCTION("""COMPUTED_VALUE"""),35)</f>
        <v>35</v>
      </c>
    </row>
    <row r="79" spans="1:7" x14ac:dyDescent="0.2">
      <c r="A79" s="61" t="str">
        <f ca="1">IFERROR(__xludf.DUMMYFUNCTION("""COMPUTED_VALUE"""),"Gooseberry - Hinnomaki Red")</f>
        <v>Gooseberry - Hinnomaki Red</v>
      </c>
      <c r="B79" s="61">
        <f ca="1">IFERROR(__xludf.DUMMYFUNCTION("""COMPUTED_VALUE"""),5)</f>
        <v>5</v>
      </c>
      <c r="C79" s="61" t="str">
        <f ca="1">IFERROR(__xludf.DUMMYFUNCTION("""COMPUTED_VALUE"""),"#5")</f>
        <v>#5</v>
      </c>
      <c r="D79" s="61" t="str">
        <f ca="1">IFERROR(__xludf.DUMMYFUNCTION("""COMPUTED_VALUE"""),"Multi")</f>
        <v>Multi</v>
      </c>
      <c r="E79" s="61" t="str">
        <f ca="1">IFERROR(__xludf.DUMMYFUNCTION("""COMPUTED_VALUE"""),"1-2'")</f>
        <v>1-2'</v>
      </c>
      <c r="F79" s="62">
        <f ca="1">IFERROR(__xludf.DUMMYFUNCTION("""COMPUTED_VALUE"""),120)</f>
        <v>120</v>
      </c>
      <c r="G79" s="63">
        <f ca="1">IFERROR(__xludf.DUMMYFUNCTION("""COMPUTED_VALUE"""),45)</f>
        <v>45</v>
      </c>
    </row>
    <row r="80" spans="1:7" x14ac:dyDescent="0.2">
      <c r="A80" s="61" t="str">
        <f ca="1">IFERROR(__xludf.DUMMYFUNCTION("""COMPUTED_VALUE"""),"Gooseberry - Invicta Green")</f>
        <v>Gooseberry - Invicta Green</v>
      </c>
      <c r="B80" s="61">
        <f ca="1">IFERROR(__xludf.DUMMYFUNCTION("""COMPUTED_VALUE"""),5)</f>
        <v>5</v>
      </c>
      <c r="C80" s="61" t="str">
        <f ca="1">IFERROR(__xludf.DUMMYFUNCTION("""COMPUTED_VALUE"""),"#5")</f>
        <v>#5</v>
      </c>
      <c r="D80" s="61" t="str">
        <f ca="1">IFERROR(__xludf.DUMMYFUNCTION("""COMPUTED_VALUE"""),"Vine")</f>
        <v>Vine</v>
      </c>
      <c r="E80" s="61" t="str">
        <f ca="1">IFERROR(__xludf.DUMMYFUNCTION("""COMPUTED_VALUE"""),"1-1.5'")</f>
        <v>1-1.5'</v>
      </c>
      <c r="F80" s="62">
        <f ca="1">IFERROR(__xludf.DUMMYFUNCTION("""COMPUTED_VALUE"""),121)</f>
        <v>121</v>
      </c>
      <c r="G80" s="63">
        <f ca="1">IFERROR(__xludf.DUMMYFUNCTION("""COMPUTED_VALUE"""),45)</f>
        <v>45</v>
      </c>
    </row>
    <row r="81" spans="1:7" x14ac:dyDescent="0.2">
      <c r="A81" s="61" t="str">
        <f ca="1">IFERROR(__xludf.DUMMYFUNCTION("""COMPUTED_VALUE"""),"Grape - Concord")</f>
        <v>Grape - Concord</v>
      </c>
      <c r="B81" s="61">
        <f ca="1">IFERROR(__xludf.DUMMYFUNCTION("""COMPUTED_VALUE"""),5)</f>
        <v>5</v>
      </c>
      <c r="C81" s="61" t="str">
        <f ca="1">IFERROR(__xludf.DUMMYFUNCTION("""COMPUTED_VALUE"""),"#5")</f>
        <v>#5</v>
      </c>
      <c r="D81" s="61" t="str">
        <f ca="1">IFERROR(__xludf.DUMMYFUNCTION("""COMPUTED_VALUE"""),"Vine")</f>
        <v>Vine</v>
      </c>
      <c r="E81" s="61" t="str">
        <f ca="1">IFERROR(__xludf.DUMMYFUNCTION("""COMPUTED_VALUE"""),"1-3'")</f>
        <v>1-3'</v>
      </c>
      <c r="F81" s="62">
        <f ca="1">IFERROR(__xludf.DUMMYFUNCTION("""COMPUTED_VALUE"""),26)</f>
        <v>26</v>
      </c>
      <c r="G81" s="63">
        <f ca="1">IFERROR(__xludf.DUMMYFUNCTION("""COMPUTED_VALUE"""),50)</f>
        <v>50</v>
      </c>
    </row>
    <row r="82" spans="1:7" x14ac:dyDescent="0.2">
      <c r="A82" s="61" t="str">
        <f ca="1">IFERROR(__xludf.DUMMYFUNCTION("""COMPUTED_VALUE"""),"Grape - Mars (Seedless)")</f>
        <v>Grape - Mars (Seedless)</v>
      </c>
      <c r="B82" s="61">
        <f ca="1">IFERROR(__xludf.DUMMYFUNCTION("""COMPUTED_VALUE"""),5)</f>
        <v>5</v>
      </c>
      <c r="C82" s="61" t="str">
        <f ca="1">IFERROR(__xludf.DUMMYFUNCTION("""COMPUTED_VALUE"""),"#5")</f>
        <v>#5</v>
      </c>
      <c r="D82" s="61" t="str">
        <f ca="1">IFERROR(__xludf.DUMMYFUNCTION("""COMPUTED_VALUE"""),"Vine")</f>
        <v>Vine</v>
      </c>
      <c r="E82" s="61" t="str">
        <f ca="1">IFERROR(__xludf.DUMMYFUNCTION("""COMPUTED_VALUE"""),"4-5'")</f>
        <v>4-5'</v>
      </c>
      <c r="F82" s="62">
        <f ca="1">IFERROR(__xludf.DUMMYFUNCTION("""COMPUTED_VALUE"""),32)</f>
        <v>32</v>
      </c>
      <c r="G82" s="63">
        <f ca="1">IFERROR(__xludf.DUMMYFUNCTION("""COMPUTED_VALUE"""),37)</f>
        <v>37</v>
      </c>
    </row>
    <row r="83" spans="1:7" x14ac:dyDescent="0.2">
      <c r="A83" s="61" t="str">
        <f ca="1">IFERROR(__xludf.DUMMYFUNCTION("""COMPUTED_VALUE"""),"Grape - Reliance Red (Seedless)")</f>
        <v>Grape - Reliance Red (Seedless)</v>
      </c>
      <c r="B83" s="61">
        <f ca="1">IFERROR(__xludf.DUMMYFUNCTION("""COMPUTED_VALUE"""),5)</f>
        <v>5</v>
      </c>
      <c r="C83" s="61" t="str">
        <f ca="1">IFERROR(__xludf.DUMMYFUNCTION("""COMPUTED_VALUE"""),"#5")</f>
        <v>#5</v>
      </c>
      <c r="D83" s="61" t="str">
        <f ca="1">IFERROR(__xludf.DUMMYFUNCTION("""COMPUTED_VALUE"""),"Vine")</f>
        <v>Vine</v>
      </c>
      <c r="E83" s="61" t="str">
        <f ca="1">IFERROR(__xludf.DUMMYFUNCTION("""COMPUTED_VALUE"""),"3-5'")</f>
        <v>3-5'</v>
      </c>
      <c r="F83" s="62">
        <f ca="1">IFERROR(__xludf.DUMMYFUNCTION("""COMPUTED_VALUE"""),34)</f>
        <v>34</v>
      </c>
      <c r="G83" s="63">
        <f ca="1">IFERROR(__xludf.DUMMYFUNCTION("""COMPUTED_VALUE"""),37)</f>
        <v>37</v>
      </c>
    </row>
    <row r="84" spans="1:7" x14ac:dyDescent="0.2">
      <c r="A84" s="61" t="str">
        <f ca="1">IFERROR(__xludf.DUMMYFUNCTION("""COMPUTED_VALUE"""),"Grape- Himrod (Seedless)")</f>
        <v>Grape- Himrod (Seedless)</v>
      </c>
      <c r="B84" s="61">
        <f ca="1">IFERROR(__xludf.DUMMYFUNCTION("""COMPUTED_VALUE"""),5)</f>
        <v>5</v>
      </c>
      <c r="C84" s="61" t="str">
        <f ca="1">IFERROR(__xludf.DUMMYFUNCTION("""COMPUTED_VALUE"""),"#5")</f>
        <v>#5</v>
      </c>
      <c r="D84" s="61" t="str">
        <f ca="1">IFERROR(__xludf.DUMMYFUNCTION("""COMPUTED_VALUE"""),"Vine")</f>
        <v>Vine</v>
      </c>
      <c r="E84" s="61" t="str">
        <f ca="1">IFERROR(__xludf.DUMMYFUNCTION("""COMPUTED_VALUE"""),"3-4'")</f>
        <v>3-4'</v>
      </c>
      <c r="F84" s="62">
        <f ca="1">IFERROR(__xludf.DUMMYFUNCTION("""COMPUTED_VALUE"""),32)</f>
        <v>32</v>
      </c>
      <c r="G84" s="63">
        <f ca="1">IFERROR(__xludf.DUMMYFUNCTION("""COMPUTED_VALUE"""),37)</f>
        <v>37</v>
      </c>
    </row>
    <row r="85" spans="1:7" x14ac:dyDescent="0.2">
      <c r="A85" s="61" t="str">
        <f ca="1">IFERROR(__xludf.DUMMYFUNCTION("""COMPUTED_VALUE"""),"Hazelnut - Jefferson")</f>
        <v>Hazelnut - Jefferson</v>
      </c>
      <c r="B85" s="61" t="str">
        <f ca="1">IFERROR(__xludf.DUMMYFUNCTION("""COMPUTED_VALUE"""),"15")</f>
        <v>15</v>
      </c>
      <c r="C85" s="61" t="str">
        <f ca="1">IFERROR(__xludf.DUMMYFUNCTION("""COMPUTED_VALUE"""),"#15")</f>
        <v>#15</v>
      </c>
      <c r="D85" s="61" t="str">
        <f ca="1">IFERROR(__xludf.DUMMYFUNCTION("""COMPUTED_VALUE"""),"1-1.25""")</f>
        <v>1-1.25"</v>
      </c>
      <c r="E85" s="61" t="str">
        <f ca="1">IFERROR(__xludf.DUMMYFUNCTION("""COMPUTED_VALUE"""),"7-9'")</f>
        <v>7-9'</v>
      </c>
      <c r="F85" s="62">
        <f ca="1">IFERROR(__xludf.DUMMYFUNCTION("""COMPUTED_VALUE"""),12)</f>
        <v>12</v>
      </c>
      <c r="G85" s="63">
        <f ca="1">IFERROR(__xludf.DUMMYFUNCTION("""COMPUTED_VALUE"""),135)</f>
        <v>135</v>
      </c>
    </row>
    <row r="86" spans="1:7" x14ac:dyDescent="0.2">
      <c r="A86" s="61" t="str">
        <f ca="1">IFERROR(__xludf.DUMMYFUNCTION("""COMPUTED_VALUE"""),"Hazelnut - McDonald ")</f>
        <v xml:space="preserve">Hazelnut - McDonald </v>
      </c>
      <c r="B86" s="61" t="str">
        <f ca="1">IFERROR(__xludf.DUMMYFUNCTION("""COMPUTED_VALUE"""),"15")</f>
        <v>15</v>
      </c>
      <c r="C86" s="61" t="str">
        <f ca="1">IFERROR(__xludf.DUMMYFUNCTION("""COMPUTED_VALUE"""),"#15")</f>
        <v>#15</v>
      </c>
      <c r="D86" s="61" t="str">
        <f ca="1">IFERROR(__xludf.DUMMYFUNCTION("""COMPUTED_VALUE"""),"1.25-1.5""")</f>
        <v>1.25-1.5"</v>
      </c>
      <c r="E86" s="61" t="str">
        <f ca="1">IFERROR(__xludf.DUMMYFUNCTION("""COMPUTED_VALUE"""),"9-10'")</f>
        <v>9-10'</v>
      </c>
      <c r="F86" s="62">
        <f ca="1">IFERROR(__xludf.DUMMYFUNCTION("""COMPUTED_VALUE"""),18)</f>
        <v>18</v>
      </c>
      <c r="G86" s="63">
        <f ca="1">IFERROR(__xludf.DUMMYFUNCTION("""COMPUTED_VALUE"""),135)</f>
        <v>135</v>
      </c>
    </row>
    <row r="87" spans="1:7" x14ac:dyDescent="0.2">
      <c r="A87" s="61" t="str">
        <f ca="1">IFERROR(__xludf.DUMMYFUNCTION("""COMPUTED_VALUE"""),"Hazelnut - Wepster ")</f>
        <v xml:space="preserve">Hazelnut - Wepster </v>
      </c>
      <c r="B87" s="61" t="str">
        <f ca="1">IFERROR(__xludf.DUMMYFUNCTION("""COMPUTED_VALUE"""),"15")</f>
        <v>15</v>
      </c>
      <c r="C87" s="61" t="str">
        <f ca="1">IFERROR(__xludf.DUMMYFUNCTION("""COMPUTED_VALUE"""),"#15")</f>
        <v>#15</v>
      </c>
      <c r="D87" s="61" t="str">
        <f ca="1">IFERROR(__xludf.DUMMYFUNCTION("""COMPUTED_VALUE"""),"0.75-1""")</f>
        <v>0.75-1"</v>
      </c>
      <c r="E87" s="61" t="str">
        <f ca="1">IFERROR(__xludf.DUMMYFUNCTION("""COMPUTED_VALUE"""),"5-7'")</f>
        <v>5-7'</v>
      </c>
      <c r="F87" s="62">
        <f ca="1">IFERROR(__xludf.DUMMYFUNCTION("""COMPUTED_VALUE"""),16)</f>
        <v>16</v>
      </c>
      <c r="G87" s="63">
        <f ca="1">IFERROR(__xludf.DUMMYFUNCTION("""COMPUTED_VALUE"""),135)</f>
        <v>135</v>
      </c>
    </row>
    <row r="88" spans="1:7" x14ac:dyDescent="0.2">
      <c r="A88" s="61" t="str">
        <f ca="1">IFERROR(__xludf.DUMMYFUNCTION("""COMPUTED_VALUE"""),"Jujube - GA 866")</f>
        <v>Jujube - GA 866</v>
      </c>
      <c r="B88" s="61">
        <f ca="1">IFERROR(__xludf.DUMMYFUNCTION("""COMPUTED_VALUE"""),5)</f>
        <v>5</v>
      </c>
      <c r="C88" s="61" t="str">
        <f ca="1">IFERROR(__xludf.DUMMYFUNCTION("""COMPUTED_VALUE"""),"#5")</f>
        <v>#5</v>
      </c>
      <c r="D88" s="61" t="str">
        <f ca="1">IFERROR(__xludf.DUMMYFUNCTION("""COMPUTED_VALUE"""),"0.75-1""")</f>
        <v>0.75-1"</v>
      </c>
      <c r="E88" s="61" t="str">
        <f ca="1">IFERROR(__xludf.DUMMYFUNCTION("""COMPUTED_VALUE"""),"4.5-10'")</f>
        <v>4.5-10'</v>
      </c>
      <c r="F88" s="62">
        <f ca="1">IFERROR(__xludf.DUMMYFUNCTION("""COMPUTED_VALUE"""),212)</f>
        <v>212</v>
      </c>
      <c r="G88" s="63">
        <f ca="1">IFERROR(__xludf.DUMMYFUNCTION("""COMPUTED_VALUE"""),100)</f>
        <v>100</v>
      </c>
    </row>
    <row r="89" spans="1:7" x14ac:dyDescent="0.2">
      <c r="A89" s="61" t="str">
        <f ca="1">IFERROR(__xludf.DUMMYFUNCTION("""COMPUTED_VALUE"""),"Jujube - GA 866")</f>
        <v>Jujube - GA 866</v>
      </c>
      <c r="B89" s="61">
        <f ca="1">IFERROR(__xludf.DUMMYFUNCTION("""COMPUTED_VALUE"""),7)</f>
        <v>7</v>
      </c>
      <c r="C89" s="61" t="str">
        <f ca="1">IFERROR(__xludf.DUMMYFUNCTION("""COMPUTED_VALUE"""),"#7")</f>
        <v>#7</v>
      </c>
      <c r="D89" s="61" t="str">
        <f ca="1">IFERROR(__xludf.DUMMYFUNCTION("""COMPUTED_VALUE"""),"0.75-1""")</f>
        <v>0.75-1"</v>
      </c>
      <c r="E89" s="61" t="str">
        <f ca="1">IFERROR(__xludf.DUMMYFUNCTION("""COMPUTED_VALUE"""),"7-10'")</f>
        <v>7-10'</v>
      </c>
      <c r="F89" s="62">
        <f ca="1">IFERROR(__xludf.DUMMYFUNCTION("""COMPUTED_VALUE"""),13)</f>
        <v>13</v>
      </c>
      <c r="G89" s="63">
        <f ca="1">IFERROR(__xludf.DUMMYFUNCTION("""COMPUTED_VALUE"""),100)</f>
        <v>100</v>
      </c>
    </row>
    <row r="90" spans="1:7" x14ac:dyDescent="0.2">
      <c r="A90" s="61" t="str">
        <f ca="1">IFERROR(__xludf.DUMMYFUNCTION("""COMPUTED_VALUE"""),"Jujube - Honey Jar")</f>
        <v>Jujube - Honey Jar</v>
      </c>
      <c r="B90" s="61" t="str">
        <f ca="1">IFERROR(__xludf.DUMMYFUNCTION("""COMPUTED_VALUE"""),"5")</f>
        <v>5</v>
      </c>
      <c r="C90" s="61" t="str">
        <f ca="1">IFERROR(__xludf.DUMMYFUNCTION("""COMPUTED_VALUE"""),"#5")</f>
        <v>#5</v>
      </c>
      <c r="D90" s="61" t="str">
        <f ca="1">IFERROR(__xludf.DUMMYFUNCTION("""COMPUTED_VALUE"""),"0.5-0.75""")</f>
        <v>0.5-0.75"</v>
      </c>
      <c r="E90" s="61" t="str">
        <f ca="1">IFERROR(__xludf.DUMMYFUNCTION("""COMPUTED_VALUE"""),"4-5'")</f>
        <v>4-5'</v>
      </c>
      <c r="F90" s="62">
        <f ca="1">IFERROR(__xludf.DUMMYFUNCTION("""COMPUTED_VALUE"""),19)</f>
        <v>19</v>
      </c>
      <c r="G90" s="63">
        <f ca="1">IFERROR(__xludf.DUMMYFUNCTION("""COMPUTED_VALUE"""),100)</f>
        <v>100</v>
      </c>
    </row>
    <row r="91" spans="1:7" x14ac:dyDescent="0.2">
      <c r="A91" s="61" t="str">
        <f ca="1">IFERROR(__xludf.DUMMYFUNCTION("""COMPUTED_VALUE"""),"Jujube - Lang")</f>
        <v>Jujube - Lang</v>
      </c>
      <c r="B91" s="61">
        <f ca="1">IFERROR(__xludf.DUMMYFUNCTION("""COMPUTED_VALUE"""),5)</f>
        <v>5</v>
      </c>
      <c r="C91" s="61" t="str">
        <f ca="1">IFERROR(__xludf.DUMMYFUNCTION("""COMPUTED_VALUE"""),"#5")</f>
        <v>#5</v>
      </c>
      <c r="D91" s="61" t="str">
        <f ca="1">IFERROR(__xludf.DUMMYFUNCTION("""COMPUTED_VALUE"""),"0.5-1""")</f>
        <v>0.5-1"</v>
      </c>
      <c r="E91" s="61" t="str">
        <f ca="1">IFERROR(__xludf.DUMMYFUNCTION("""COMPUTED_VALUE"""),"4.5-8'")</f>
        <v>4.5-8'</v>
      </c>
      <c r="F91" s="62">
        <f ca="1">IFERROR(__xludf.DUMMYFUNCTION("""COMPUTED_VALUE"""),59)</f>
        <v>59</v>
      </c>
      <c r="G91" s="63">
        <f ca="1">IFERROR(__xludf.DUMMYFUNCTION("""COMPUTED_VALUE"""),100)</f>
        <v>100</v>
      </c>
    </row>
    <row r="92" spans="1:7" x14ac:dyDescent="0.2">
      <c r="A92" s="61" t="str">
        <f ca="1">IFERROR(__xludf.DUMMYFUNCTION("""COMPUTED_VALUE"""),"Jujube - Lang")</f>
        <v>Jujube - Lang</v>
      </c>
      <c r="B92" s="61">
        <f ca="1">IFERROR(__xludf.DUMMYFUNCTION("""COMPUTED_VALUE"""),10)</f>
        <v>10</v>
      </c>
      <c r="C92" s="61" t="str">
        <f ca="1">IFERROR(__xludf.DUMMYFUNCTION("""COMPUTED_VALUE"""),"#7")</f>
        <v>#7</v>
      </c>
      <c r="D92" s="61" t="str">
        <f ca="1">IFERROR(__xludf.DUMMYFUNCTION("""COMPUTED_VALUE"""),"1-1""")</f>
        <v>1-1"</v>
      </c>
      <c r="E92" s="61" t="str">
        <f ca="1">IFERROR(__xludf.DUMMYFUNCTION("""COMPUTED_VALUE"""),"8-9'")</f>
        <v>8-9'</v>
      </c>
      <c r="F92" s="62">
        <f ca="1">IFERROR(__xludf.DUMMYFUNCTION("""COMPUTED_VALUE"""),3)</f>
        <v>3</v>
      </c>
      <c r="G92" s="63">
        <f ca="1">IFERROR(__xludf.DUMMYFUNCTION("""COMPUTED_VALUE"""),100)</f>
        <v>100</v>
      </c>
    </row>
    <row r="93" spans="1:7" x14ac:dyDescent="0.2">
      <c r="A93" s="61" t="str">
        <f ca="1">IFERROR(__xludf.DUMMYFUNCTION("""COMPUTED_VALUE"""),"Jujube - Li")</f>
        <v>Jujube - Li</v>
      </c>
      <c r="B93" s="61">
        <f ca="1">IFERROR(__xludf.DUMMYFUNCTION("""COMPUTED_VALUE"""),5)</f>
        <v>5</v>
      </c>
      <c r="C93" s="61" t="str">
        <f ca="1">IFERROR(__xludf.DUMMYFUNCTION("""COMPUTED_VALUE"""),"#5")</f>
        <v>#5</v>
      </c>
      <c r="D93" s="61" t="str">
        <f ca="1">IFERROR(__xludf.DUMMYFUNCTION("""COMPUTED_VALUE"""),"0.5-1""")</f>
        <v>0.5-1"</v>
      </c>
      <c r="E93" s="61" t="str">
        <f ca="1">IFERROR(__xludf.DUMMYFUNCTION("""COMPUTED_VALUE"""),"4-9'")</f>
        <v>4-9'</v>
      </c>
      <c r="F93" s="62">
        <f ca="1">IFERROR(__xludf.DUMMYFUNCTION("""COMPUTED_VALUE"""),203)</f>
        <v>203</v>
      </c>
      <c r="G93" s="63">
        <f ca="1">IFERROR(__xludf.DUMMYFUNCTION("""COMPUTED_VALUE"""),100)</f>
        <v>100</v>
      </c>
    </row>
    <row r="94" spans="1:7" x14ac:dyDescent="0.2">
      <c r="A94" s="61" t="str">
        <f ca="1">IFERROR(__xludf.DUMMYFUNCTION("""COMPUTED_VALUE"""),"Jujube - Li")</f>
        <v>Jujube - Li</v>
      </c>
      <c r="B94" s="61">
        <f ca="1">IFERROR(__xludf.DUMMYFUNCTION("""COMPUTED_VALUE"""),7)</f>
        <v>7</v>
      </c>
      <c r="C94" s="61" t="str">
        <f ca="1">IFERROR(__xludf.DUMMYFUNCTION("""COMPUTED_VALUE"""),"#7")</f>
        <v>#7</v>
      </c>
      <c r="D94" s="61" t="str">
        <f ca="1">IFERROR(__xludf.DUMMYFUNCTION("""COMPUTED_VALUE"""),"0.75-1""")</f>
        <v>0.75-1"</v>
      </c>
      <c r="E94" s="61" t="str">
        <f ca="1">IFERROR(__xludf.DUMMYFUNCTION("""COMPUTED_VALUE"""),"7-11'")</f>
        <v>7-11'</v>
      </c>
      <c r="F94" s="62">
        <f ca="1">IFERROR(__xludf.DUMMYFUNCTION("""COMPUTED_VALUE"""),4)</f>
        <v>4</v>
      </c>
      <c r="G94" s="63">
        <f ca="1">IFERROR(__xludf.DUMMYFUNCTION("""COMPUTED_VALUE"""),100)</f>
        <v>100</v>
      </c>
    </row>
    <row r="95" spans="1:7" x14ac:dyDescent="0.2">
      <c r="A95" s="61" t="str">
        <f ca="1">IFERROR(__xludf.DUMMYFUNCTION("""COMPUTED_VALUE"""),"Jujube - Sugar Cane")</f>
        <v>Jujube - Sugar Cane</v>
      </c>
      <c r="B95" s="61">
        <f ca="1">IFERROR(__xludf.DUMMYFUNCTION("""COMPUTED_VALUE"""),5)</f>
        <v>5</v>
      </c>
      <c r="C95" s="61" t="str">
        <f ca="1">IFERROR(__xludf.DUMMYFUNCTION("""COMPUTED_VALUE"""),"#5")</f>
        <v>#5</v>
      </c>
      <c r="D95" s="61" t="str">
        <f ca="1">IFERROR(__xludf.DUMMYFUNCTION("""COMPUTED_VALUE"""),"0.5-1""")</f>
        <v>0.5-1"</v>
      </c>
      <c r="E95" s="61" t="str">
        <f ca="1">IFERROR(__xludf.DUMMYFUNCTION("""COMPUTED_VALUE"""),"4-8'")</f>
        <v>4-8'</v>
      </c>
      <c r="F95" s="62">
        <f ca="1">IFERROR(__xludf.DUMMYFUNCTION("""COMPUTED_VALUE"""),194)</f>
        <v>194</v>
      </c>
      <c r="G95" s="63">
        <f ca="1">IFERROR(__xludf.DUMMYFUNCTION("""COMPUTED_VALUE"""),100)</f>
        <v>100</v>
      </c>
    </row>
    <row r="96" spans="1:7" x14ac:dyDescent="0.2">
      <c r="A96" s="61" t="str">
        <f ca="1">IFERROR(__xludf.DUMMYFUNCTION("""COMPUTED_VALUE"""),"Jujube - Sugar Cane")</f>
        <v>Jujube - Sugar Cane</v>
      </c>
      <c r="B96" s="61">
        <f ca="1">IFERROR(__xludf.DUMMYFUNCTION("""COMPUTED_VALUE"""),10)</f>
        <v>10</v>
      </c>
      <c r="C96" s="61" t="str">
        <f ca="1">IFERROR(__xludf.DUMMYFUNCTION("""COMPUTED_VALUE"""),"#7")</f>
        <v>#7</v>
      </c>
      <c r="D96" s="61" t="str">
        <f ca="1">IFERROR(__xludf.DUMMYFUNCTION("""COMPUTED_VALUE"""),"0.75-1""")</f>
        <v>0.75-1"</v>
      </c>
      <c r="E96" s="61" t="str">
        <f ca="1">IFERROR(__xludf.DUMMYFUNCTION("""COMPUTED_VALUE"""),"7-8'")</f>
        <v>7-8'</v>
      </c>
      <c r="F96" s="62">
        <f ca="1">IFERROR(__xludf.DUMMYFUNCTION("""COMPUTED_VALUE"""),5)</f>
        <v>5</v>
      </c>
      <c r="G96" s="63">
        <f ca="1">IFERROR(__xludf.DUMMYFUNCTION("""COMPUTED_VALUE"""),100)</f>
        <v>100</v>
      </c>
    </row>
    <row r="97" spans="1:7" x14ac:dyDescent="0.2">
      <c r="A97" s="61" t="str">
        <f ca="1">IFERROR(__xludf.DUMMYFUNCTION("""COMPUTED_VALUE"""),"Mulberry - Everbearing")</f>
        <v>Mulberry - Everbearing</v>
      </c>
      <c r="B97" s="61">
        <f ca="1">IFERROR(__xludf.DUMMYFUNCTION("""COMPUTED_VALUE"""),5)</f>
        <v>5</v>
      </c>
      <c r="C97" s="61" t="str">
        <f ca="1">IFERROR(__xludf.DUMMYFUNCTION("""COMPUTED_VALUE"""),"#5")</f>
        <v>#5</v>
      </c>
      <c r="D97" s="61" t="str">
        <f ca="1">IFERROR(__xludf.DUMMYFUNCTION("""COMPUTED_VALUE"""),"Multi")</f>
        <v>Multi</v>
      </c>
      <c r="E97" s="61" t="str">
        <f ca="1">IFERROR(__xludf.DUMMYFUNCTION("""COMPUTED_VALUE"""),"1-3'")</f>
        <v>1-3'</v>
      </c>
      <c r="F97" s="62">
        <f ca="1">IFERROR(__xludf.DUMMYFUNCTION("""COMPUTED_VALUE"""),55)</f>
        <v>55</v>
      </c>
      <c r="G97" s="63">
        <f ca="1">IFERROR(__xludf.DUMMYFUNCTION("""COMPUTED_VALUE"""),50)</f>
        <v>50</v>
      </c>
    </row>
    <row r="98" spans="1:7" x14ac:dyDescent="0.2">
      <c r="A98" s="61" t="str">
        <f ca="1">IFERROR(__xludf.DUMMYFUNCTION("""COMPUTED_VALUE"""),"Mulberry - Red")</f>
        <v>Mulberry - Red</v>
      </c>
      <c r="B98" s="61">
        <f ca="1">IFERROR(__xludf.DUMMYFUNCTION("""COMPUTED_VALUE"""),5)</f>
        <v>5</v>
      </c>
      <c r="C98" s="61" t="str">
        <f ca="1">IFERROR(__xludf.DUMMYFUNCTION("""COMPUTED_VALUE"""),"#5")</f>
        <v>#5</v>
      </c>
      <c r="D98" s="61" t="str">
        <f ca="1">IFERROR(__xludf.DUMMYFUNCTION("""COMPUTED_VALUE"""),"0.5-1.5""")</f>
        <v>0.5-1.5"</v>
      </c>
      <c r="E98" s="61" t="str">
        <f ca="1">IFERROR(__xludf.DUMMYFUNCTION("""COMPUTED_VALUE"""),"4-9'")</f>
        <v>4-9'</v>
      </c>
      <c r="F98" s="62">
        <f ca="1">IFERROR(__xludf.DUMMYFUNCTION("""COMPUTED_VALUE"""),43)</f>
        <v>43</v>
      </c>
      <c r="G98" s="63">
        <f ca="1">IFERROR(__xludf.DUMMYFUNCTION("""COMPUTED_VALUE"""),50)</f>
        <v>50</v>
      </c>
    </row>
    <row r="99" spans="1:7" x14ac:dyDescent="0.2">
      <c r="A99" s="61" t="str">
        <f ca="1">IFERROR(__xludf.DUMMYFUNCTION("""COMPUTED_VALUE"""),"Nectarine - Flavortop")</f>
        <v>Nectarine - Flavortop</v>
      </c>
      <c r="B99" s="61">
        <f ca="1">IFERROR(__xludf.DUMMYFUNCTION("""COMPUTED_VALUE"""),5)</f>
        <v>5</v>
      </c>
      <c r="C99" s="61" t="str">
        <f ca="1">IFERROR(__xludf.DUMMYFUNCTION("""COMPUTED_VALUE"""),"#5")</f>
        <v>#5</v>
      </c>
      <c r="D99" s="61" t="str">
        <f ca="1">IFERROR(__xludf.DUMMYFUNCTION("""COMPUTED_VALUE"""),"1-1.25""")</f>
        <v>1-1.25"</v>
      </c>
      <c r="E99" s="61" t="str">
        <f ca="1">IFERROR(__xludf.DUMMYFUNCTION("""COMPUTED_VALUE"""),"6-8'")</f>
        <v>6-8'</v>
      </c>
      <c r="F99" s="62">
        <f ca="1">IFERROR(__xludf.DUMMYFUNCTION("""COMPUTED_VALUE"""),10)</f>
        <v>10</v>
      </c>
      <c r="G99" s="63">
        <f ca="1">IFERROR(__xludf.DUMMYFUNCTION("""COMPUTED_VALUE"""),55)</f>
        <v>55</v>
      </c>
    </row>
    <row r="100" spans="1:7" x14ac:dyDescent="0.2">
      <c r="A100" s="61" t="str">
        <f ca="1">IFERROR(__xludf.DUMMYFUNCTION("""COMPUTED_VALUE"""),"Nectarine - Independence")</f>
        <v>Nectarine - Independence</v>
      </c>
      <c r="B100" s="61">
        <f ca="1">IFERROR(__xludf.DUMMYFUNCTION("""COMPUTED_VALUE"""),5)</f>
        <v>5</v>
      </c>
      <c r="C100" s="61" t="str">
        <f ca="1">IFERROR(__xludf.DUMMYFUNCTION("""COMPUTED_VALUE"""),"#5")</f>
        <v>#5</v>
      </c>
      <c r="D100" s="61" t="str">
        <f ca="1">IFERROR(__xludf.DUMMYFUNCTION("""COMPUTED_VALUE"""),"1-1""")</f>
        <v>1-1"</v>
      </c>
      <c r="E100" s="61" t="str">
        <f ca="1">IFERROR(__xludf.DUMMYFUNCTION("""COMPUTED_VALUE"""),"5-7'")</f>
        <v>5-7'</v>
      </c>
      <c r="F100" s="62">
        <f ca="1">IFERROR(__xludf.DUMMYFUNCTION("""COMPUTED_VALUE"""),36)</f>
        <v>36</v>
      </c>
      <c r="G100" s="63">
        <f ca="1">IFERROR(__xludf.DUMMYFUNCTION("""COMPUTED_VALUE"""),55)</f>
        <v>55</v>
      </c>
    </row>
    <row r="101" spans="1:7" x14ac:dyDescent="0.2">
      <c r="A101" s="61" t="str">
        <f ca="1">IFERROR(__xludf.DUMMYFUNCTION("""COMPUTED_VALUE"""),"Nectarine - Redgold")</f>
        <v>Nectarine - Redgold</v>
      </c>
      <c r="B101" s="61">
        <f ca="1">IFERROR(__xludf.DUMMYFUNCTION("""COMPUTED_VALUE"""),5)</f>
        <v>5</v>
      </c>
      <c r="C101" s="61" t="str">
        <f ca="1">IFERROR(__xludf.DUMMYFUNCTION("""COMPUTED_VALUE"""),"#5")</f>
        <v>#5</v>
      </c>
      <c r="D101" s="61" t="str">
        <f ca="1">IFERROR(__xludf.DUMMYFUNCTION("""COMPUTED_VALUE"""),"0.75-1""")</f>
        <v>0.75-1"</v>
      </c>
      <c r="E101" s="61" t="str">
        <f ca="1">IFERROR(__xludf.DUMMYFUNCTION("""COMPUTED_VALUE"""),"4-6'")</f>
        <v>4-6'</v>
      </c>
      <c r="F101" s="62">
        <f ca="1">IFERROR(__xludf.DUMMYFUNCTION("""COMPUTED_VALUE"""),35)</f>
        <v>35</v>
      </c>
      <c r="G101" s="63">
        <f ca="1">IFERROR(__xludf.DUMMYFUNCTION("""COMPUTED_VALUE"""),55)</f>
        <v>55</v>
      </c>
    </row>
    <row r="102" spans="1:7" x14ac:dyDescent="0.2">
      <c r="A102" s="61" t="str">
        <f ca="1">IFERROR(__xludf.DUMMYFUNCTION("""COMPUTED_VALUE"""),"Nectarine (White) - Arctic Glo")</f>
        <v>Nectarine (White) - Arctic Glo</v>
      </c>
      <c r="B102" s="61">
        <f ca="1">IFERROR(__xludf.DUMMYFUNCTION("""COMPUTED_VALUE"""),5)</f>
        <v>5</v>
      </c>
      <c r="C102" s="61" t="str">
        <f ca="1">IFERROR(__xludf.DUMMYFUNCTION("""COMPUTED_VALUE"""),"#5")</f>
        <v>#5</v>
      </c>
      <c r="D102" s="61" t="str">
        <f ca="1">IFERROR(__xludf.DUMMYFUNCTION("""COMPUTED_VALUE"""),"0.75-1""")</f>
        <v>0.75-1"</v>
      </c>
      <c r="E102" s="61" t="str">
        <f ca="1">IFERROR(__xludf.DUMMYFUNCTION("""COMPUTED_VALUE"""),"4-6.5'")</f>
        <v>4-6.5'</v>
      </c>
      <c r="F102" s="62">
        <f ca="1">IFERROR(__xludf.DUMMYFUNCTION("""COMPUTED_VALUE"""),109)</f>
        <v>109</v>
      </c>
      <c r="G102" s="63">
        <f ca="1">IFERROR(__xludf.DUMMYFUNCTION("""COMPUTED_VALUE"""),55)</f>
        <v>55</v>
      </c>
    </row>
    <row r="103" spans="1:7" x14ac:dyDescent="0.2">
      <c r="A103" s="61" t="str">
        <f ca="1">IFERROR(__xludf.DUMMYFUNCTION("""COMPUTED_VALUE"""),"Nectarine (White) - Arctic Glo")</f>
        <v>Nectarine (White) - Arctic Glo</v>
      </c>
      <c r="B103" s="61">
        <f ca="1">IFERROR(__xludf.DUMMYFUNCTION("""COMPUTED_VALUE"""),7)</f>
        <v>7</v>
      </c>
      <c r="C103" s="61" t="str">
        <f ca="1">IFERROR(__xludf.DUMMYFUNCTION("""COMPUTED_VALUE"""),"#7")</f>
        <v>#7</v>
      </c>
      <c r="D103" s="61" t="str">
        <f ca="1">IFERROR(__xludf.DUMMYFUNCTION("""COMPUTED_VALUE"""),"0.75-1.5""")</f>
        <v>0.75-1.5"</v>
      </c>
      <c r="E103" s="61" t="str">
        <f ca="1">IFERROR(__xludf.DUMMYFUNCTION("""COMPUTED_VALUE"""),"4-9'")</f>
        <v>4-9'</v>
      </c>
      <c r="F103" s="62">
        <f ca="1">IFERROR(__xludf.DUMMYFUNCTION("""COMPUTED_VALUE"""),12)</f>
        <v>12</v>
      </c>
      <c r="G103" s="63">
        <f ca="1">IFERROR(__xludf.DUMMYFUNCTION("""COMPUTED_VALUE"""),80)</f>
        <v>80</v>
      </c>
    </row>
    <row r="104" spans="1:7" x14ac:dyDescent="0.2">
      <c r="A104" s="61" t="str">
        <f ca="1">IFERROR(__xludf.DUMMYFUNCTION("""COMPUTED_VALUE"""),"Nectarine (White) - Arctic Sweet")</f>
        <v>Nectarine (White) - Arctic Sweet</v>
      </c>
      <c r="B104" s="61">
        <f ca="1">IFERROR(__xludf.DUMMYFUNCTION("""COMPUTED_VALUE"""),7)</f>
        <v>7</v>
      </c>
      <c r="C104" s="61" t="str">
        <f ca="1">IFERROR(__xludf.DUMMYFUNCTION("""COMPUTED_VALUE"""),"#7")</f>
        <v>#7</v>
      </c>
      <c r="D104" s="61" t="str">
        <f ca="1">IFERROR(__xludf.DUMMYFUNCTION("""COMPUTED_VALUE"""),"1.25-1.5""")</f>
        <v>1.25-1.5"</v>
      </c>
      <c r="E104" s="61" t="str">
        <f ca="1">IFERROR(__xludf.DUMMYFUNCTION("""COMPUTED_VALUE"""),"9-10'")</f>
        <v>9-10'</v>
      </c>
      <c r="F104" s="62">
        <f ca="1">IFERROR(__xludf.DUMMYFUNCTION("""COMPUTED_VALUE"""),15)</f>
        <v>15</v>
      </c>
      <c r="G104" s="63">
        <f ca="1">IFERROR(__xludf.DUMMYFUNCTION("""COMPUTED_VALUE"""),80)</f>
        <v>80</v>
      </c>
    </row>
    <row r="105" spans="1:7" x14ac:dyDescent="0.2">
      <c r="A105" s="61" t="str">
        <f ca="1">IFERROR(__xludf.DUMMYFUNCTION("""COMPUTED_VALUE"""),"Pawpaw")</f>
        <v>Pawpaw</v>
      </c>
      <c r="B105" s="61">
        <f ca="1">IFERROR(__xludf.DUMMYFUNCTION("""COMPUTED_VALUE"""),5)</f>
        <v>5</v>
      </c>
      <c r="C105" s="61" t="str">
        <f ca="1">IFERROR(__xludf.DUMMYFUNCTION("""COMPUTED_VALUE"""),"#5")</f>
        <v>#5</v>
      </c>
      <c r="D105" s="61" t="str">
        <f ca="1">IFERROR(__xludf.DUMMYFUNCTION("""COMPUTED_VALUE"""),"0.25-0.5""")</f>
        <v>0.25-0.5"</v>
      </c>
      <c r="E105" s="61" t="str">
        <f ca="1">IFERROR(__xludf.DUMMYFUNCTION("""COMPUTED_VALUE"""),"1-4'")</f>
        <v>1-4'</v>
      </c>
      <c r="F105" s="62">
        <f ca="1">IFERROR(__xludf.DUMMYFUNCTION("""COMPUTED_VALUE"""),178)</f>
        <v>178</v>
      </c>
      <c r="G105" s="63">
        <f ca="1">IFERROR(__xludf.DUMMYFUNCTION("""COMPUTED_VALUE"""),50)</f>
        <v>50</v>
      </c>
    </row>
    <row r="106" spans="1:7" x14ac:dyDescent="0.2">
      <c r="A106" s="61" t="str">
        <f ca="1">IFERROR(__xludf.DUMMYFUNCTION("""COMPUTED_VALUE"""),"Pawpaw")</f>
        <v>Pawpaw</v>
      </c>
      <c r="B106" s="61">
        <f ca="1">IFERROR(__xludf.DUMMYFUNCTION("""COMPUTED_VALUE"""),10)</f>
        <v>10</v>
      </c>
      <c r="C106" s="61" t="str">
        <f ca="1">IFERROR(__xludf.DUMMYFUNCTION("""COMPUTED_VALUE"""),"#10")</f>
        <v>#10</v>
      </c>
      <c r="D106" s="61" t="str">
        <f ca="1">IFERROR(__xludf.DUMMYFUNCTION("""COMPUTED_VALUE"""),"Multi")</f>
        <v>Multi</v>
      </c>
      <c r="E106" s="61" t="str">
        <f ca="1">IFERROR(__xludf.DUMMYFUNCTION("""COMPUTED_VALUE"""),"4-4'")</f>
        <v>4-4'</v>
      </c>
      <c r="F106" s="62">
        <f ca="1">IFERROR(__xludf.DUMMYFUNCTION("""COMPUTED_VALUE"""),1)</f>
        <v>1</v>
      </c>
      <c r="G106" s="63">
        <f ca="1">IFERROR(__xludf.DUMMYFUNCTION("""COMPUTED_VALUE"""),100)</f>
        <v>100</v>
      </c>
    </row>
    <row r="107" spans="1:7" x14ac:dyDescent="0.2">
      <c r="A107" s="61" t="str">
        <f ca="1">IFERROR(__xludf.DUMMYFUNCTION("""COMPUTED_VALUE"""),"Pawpaw - Allegheny")</f>
        <v>Pawpaw - Allegheny</v>
      </c>
      <c r="B107" s="61">
        <f ca="1">IFERROR(__xludf.DUMMYFUNCTION("""COMPUTED_VALUE"""),5)</f>
        <v>5</v>
      </c>
      <c r="C107" s="61" t="str">
        <f ca="1">IFERROR(__xludf.DUMMYFUNCTION("""COMPUTED_VALUE"""),"#5")</f>
        <v>#5</v>
      </c>
      <c r="D107" s="61" t="str">
        <f ca="1">IFERROR(__xludf.DUMMYFUNCTION("""COMPUTED_VALUE"""),"0.25-0.5""")</f>
        <v>0.25-0.5"</v>
      </c>
      <c r="E107" s="61" t="str">
        <f ca="1">IFERROR(__xludf.DUMMYFUNCTION("""COMPUTED_VALUE"""),"2-3'")</f>
        <v>2-3'</v>
      </c>
      <c r="F107" s="62">
        <f ca="1">IFERROR(__xludf.DUMMYFUNCTION("""COMPUTED_VALUE"""),51)</f>
        <v>51</v>
      </c>
      <c r="G107" s="63">
        <f ca="1">IFERROR(__xludf.DUMMYFUNCTION("""COMPUTED_VALUE"""),100)</f>
        <v>100</v>
      </c>
    </row>
    <row r="108" spans="1:7" x14ac:dyDescent="0.2">
      <c r="A108" s="61" t="str">
        <f ca="1">IFERROR(__xludf.DUMMYFUNCTION("""COMPUTED_VALUE"""),"Pawpaw - Mango")</f>
        <v>Pawpaw - Mango</v>
      </c>
      <c r="B108" s="61">
        <f ca="1">IFERROR(__xludf.DUMMYFUNCTION("""COMPUTED_VALUE"""),5)</f>
        <v>5</v>
      </c>
      <c r="C108" s="61" t="str">
        <f ca="1">IFERROR(__xludf.DUMMYFUNCTION("""COMPUTED_VALUE"""),"#5")</f>
        <v>#5</v>
      </c>
      <c r="D108" s="61" t="str">
        <f ca="1">IFERROR(__xludf.DUMMYFUNCTION("""COMPUTED_VALUE"""),"0.25-0.5""")</f>
        <v>0.25-0.5"</v>
      </c>
      <c r="E108" s="61" t="str">
        <f ca="1">IFERROR(__xludf.DUMMYFUNCTION("""COMPUTED_VALUE"""),"2-2.5'")</f>
        <v>2-2.5'</v>
      </c>
      <c r="F108" s="62">
        <f ca="1">IFERROR(__xludf.DUMMYFUNCTION("""COMPUTED_VALUE"""),66)</f>
        <v>66</v>
      </c>
      <c r="G108" s="63">
        <f ca="1">IFERROR(__xludf.DUMMYFUNCTION("""COMPUTED_VALUE"""),100)</f>
        <v>100</v>
      </c>
    </row>
    <row r="109" spans="1:7" x14ac:dyDescent="0.2">
      <c r="A109" s="61" t="str">
        <f ca="1">IFERROR(__xludf.DUMMYFUNCTION("""COMPUTED_VALUE"""),"Pawpaw - NC-1")</f>
        <v>Pawpaw - NC-1</v>
      </c>
      <c r="B109" s="61">
        <f ca="1">IFERROR(__xludf.DUMMYFUNCTION("""COMPUTED_VALUE"""),5)</f>
        <v>5</v>
      </c>
      <c r="C109" s="61" t="str">
        <f ca="1">IFERROR(__xludf.DUMMYFUNCTION("""COMPUTED_VALUE"""),"#5")</f>
        <v>#5</v>
      </c>
      <c r="D109" s="61" t="str">
        <f ca="1">IFERROR(__xludf.DUMMYFUNCTION("""COMPUTED_VALUE"""),"0.25-0.5""")</f>
        <v>0.25-0.5"</v>
      </c>
      <c r="E109" s="61" t="str">
        <f ca="1">IFERROR(__xludf.DUMMYFUNCTION("""COMPUTED_VALUE"""),"2-3.5'")</f>
        <v>2-3.5'</v>
      </c>
      <c r="F109" s="62">
        <f ca="1">IFERROR(__xludf.DUMMYFUNCTION("""COMPUTED_VALUE"""),54)</f>
        <v>54</v>
      </c>
      <c r="G109" s="63">
        <f ca="1">IFERROR(__xludf.DUMMYFUNCTION("""COMPUTED_VALUE"""),100)</f>
        <v>100</v>
      </c>
    </row>
    <row r="110" spans="1:7" x14ac:dyDescent="0.2">
      <c r="A110" s="61" t="str">
        <f ca="1">IFERROR(__xludf.DUMMYFUNCTION("""COMPUTED_VALUE"""),"Pawpaw - Potomac")</f>
        <v>Pawpaw - Potomac</v>
      </c>
      <c r="B110" s="61">
        <f ca="1">IFERROR(__xludf.DUMMYFUNCTION("""COMPUTED_VALUE"""),5)</f>
        <v>5</v>
      </c>
      <c r="C110" s="61" t="str">
        <f ca="1">IFERROR(__xludf.DUMMYFUNCTION("""COMPUTED_VALUE"""),"#5")</f>
        <v>#5</v>
      </c>
      <c r="D110" s="61" t="str">
        <f ca="1">IFERROR(__xludf.DUMMYFUNCTION("""COMPUTED_VALUE"""),"0.25-0.5""")</f>
        <v>0.25-0.5"</v>
      </c>
      <c r="E110" s="61" t="str">
        <f ca="1">IFERROR(__xludf.DUMMYFUNCTION("""COMPUTED_VALUE"""),"1-3'")</f>
        <v>1-3'</v>
      </c>
      <c r="F110" s="62">
        <f ca="1">IFERROR(__xludf.DUMMYFUNCTION("""COMPUTED_VALUE"""),62)</f>
        <v>62</v>
      </c>
      <c r="G110" s="63">
        <f ca="1">IFERROR(__xludf.DUMMYFUNCTION("""COMPUTED_VALUE"""),100)</f>
        <v>100</v>
      </c>
    </row>
    <row r="111" spans="1:7" x14ac:dyDescent="0.2">
      <c r="A111" s="61" t="str">
        <f ca="1">IFERROR(__xludf.DUMMYFUNCTION("""COMPUTED_VALUE"""),"Pawpaw - Shenandoah")</f>
        <v>Pawpaw - Shenandoah</v>
      </c>
      <c r="B111" s="61">
        <f ca="1">IFERROR(__xludf.DUMMYFUNCTION("""COMPUTED_VALUE"""),5)</f>
        <v>5</v>
      </c>
      <c r="C111" s="61" t="str">
        <f ca="1">IFERROR(__xludf.DUMMYFUNCTION("""COMPUTED_VALUE"""),"#5")</f>
        <v>#5</v>
      </c>
      <c r="D111" s="61" t="str">
        <f ca="1">IFERROR(__xludf.DUMMYFUNCTION("""COMPUTED_VALUE"""),"0.25-0.5""")</f>
        <v>0.25-0.5"</v>
      </c>
      <c r="E111" s="61" t="str">
        <f ca="1">IFERROR(__xludf.DUMMYFUNCTION("""COMPUTED_VALUE"""),"1-2'")</f>
        <v>1-2'</v>
      </c>
      <c r="F111" s="62">
        <f ca="1">IFERROR(__xludf.DUMMYFUNCTION("""COMPUTED_VALUE"""),60)</f>
        <v>60</v>
      </c>
      <c r="G111" s="63">
        <f ca="1">IFERROR(__xludf.DUMMYFUNCTION("""COMPUTED_VALUE"""),100)</f>
        <v>100</v>
      </c>
    </row>
    <row r="112" spans="1:7" x14ac:dyDescent="0.2">
      <c r="A112" s="61" t="str">
        <f ca="1">IFERROR(__xludf.DUMMYFUNCTION("""COMPUTED_VALUE"""),"Pawpaw - Susquehanna")</f>
        <v>Pawpaw - Susquehanna</v>
      </c>
      <c r="B112" s="61">
        <f ca="1">IFERROR(__xludf.DUMMYFUNCTION("""COMPUTED_VALUE"""),5)</f>
        <v>5</v>
      </c>
      <c r="C112" s="61" t="str">
        <f ca="1">IFERROR(__xludf.DUMMYFUNCTION("""COMPUTED_VALUE"""),"#5")</f>
        <v>#5</v>
      </c>
      <c r="D112" s="61" t="str">
        <f ca="1">IFERROR(__xludf.DUMMYFUNCTION("""COMPUTED_VALUE"""),"0.5-0.5""")</f>
        <v>0.5-0.5"</v>
      </c>
      <c r="E112" s="61" t="str">
        <f ca="1">IFERROR(__xludf.DUMMYFUNCTION("""COMPUTED_VALUE"""),"1.5-2.5'")</f>
        <v>1.5-2.5'</v>
      </c>
      <c r="F112" s="62">
        <f ca="1">IFERROR(__xludf.DUMMYFUNCTION("""COMPUTED_VALUE"""),62)</f>
        <v>62</v>
      </c>
      <c r="G112" s="63">
        <f ca="1">IFERROR(__xludf.DUMMYFUNCTION("""COMPUTED_VALUE"""),100)</f>
        <v>100</v>
      </c>
    </row>
    <row r="113" spans="1:7" x14ac:dyDescent="0.2">
      <c r="A113" s="61" t="str">
        <f ca="1">IFERROR(__xludf.DUMMYFUNCTION("""COMPUTED_VALUE"""),"Pawpaw - Wabash")</f>
        <v>Pawpaw - Wabash</v>
      </c>
      <c r="B113" s="61">
        <f ca="1">IFERROR(__xludf.DUMMYFUNCTION("""COMPUTED_VALUE"""),5)</f>
        <v>5</v>
      </c>
      <c r="C113" s="61" t="str">
        <f ca="1">IFERROR(__xludf.DUMMYFUNCTION("""COMPUTED_VALUE"""),"#5")</f>
        <v>#5</v>
      </c>
      <c r="D113" s="61" t="str">
        <f ca="1">IFERROR(__xludf.DUMMYFUNCTION("""COMPUTED_VALUE"""),"0.25-0.5""")</f>
        <v>0.25-0.5"</v>
      </c>
      <c r="E113" s="61" t="str">
        <f ca="1">IFERROR(__xludf.DUMMYFUNCTION("""COMPUTED_VALUE"""),"1-3'")</f>
        <v>1-3'</v>
      </c>
      <c r="F113" s="62">
        <f ca="1">IFERROR(__xludf.DUMMYFUNCTION("""COMPUTED_VALUE"""),11)</f>
        <v>11</v>
      </c>
      <c r="G113" s="63">
        <f ca="1">IFERROR(__xludf.DUMMYFUNCTION("""COMPUTED_VALUE"""),100)</f>
        <v>100</v>
      </c>
    </row>
    <row r="114" spans="1:7" x14ac:dyDescent="0.2">
      <c r="A114" s="61" t="str">
        <f ca="1">IFERROR(__xludf.DUMMYFUNCTION("""COMPUTED_VALUE"""),"Peach - Contender")</f>
        <v>Peach - Contender</v>
      </c>
      <c r="B114" s="61">
        <f ca="1">IFERROR(__xludf.DUMMYFUNCTION("""COMPUTED_VALUE"""),5)</f>
        <v>5</v>
      </c>
      <c r="C114" s="61" t="str">
        <f ca="1">IFERROR(__xludf.DUMMYFUNCTION("""COMPUTED_VALUE"""),"#5")</f>
        <v>#5</v>
      </c>
      <c r="D114" s="61" t="str">
        <f ca="1">IFERROR(__xludf.DUMMYFUNCTION("""COMPUTED_VALUE"""),"0.75-1""")</f>
        <v>0.75-1"</v>
      </c>
      <c r="E114" s="61" t="str">
        <f ca="1">IFERROR(__xludf.DUMMYFUNCTION("""COMPUTED_VALUE"""),"4-6'")</f>
        <v>4-6'</v>
      </c>
      <c r="F114" s="62">
        <f ca="1">IFERROR(__xludf.DUMMYFUNCTION("""COMPUTED_VALUE"""),73)</f>
        <v>73</v>
      </c>
      <c r="G114" s="63">
        <f ca="1">IFERROR(__xludf.DUMMYFUNCTION("""COMPUTED_VALUE"""),55)</f>
        <v>55</v>
      </c>
    </row>
    <row r="115" spans="1:7" x14ac:dyDescent="0.2">
      <c r="A115" s="61" t="str">
        <f ca="1">IFERROR(__xludf.DUMMYFUNCTION("""COMPUTED_VALUE"""),"Peach - Cresthaven")</f>
        <v>Peach - Cresthaven</v>
      </c>
      <c r="B115" s="61">
        <f ca="1">IFERROR(__xludf.DUMMYFUNCTION("""COMPUTED_VALUE"""),5)</f>
        <v>5</v>
      </c>
      <c r="C115" s="61" t="str">
        <f ca="1">IFERROR(__xludf.DUMMYFUNCTION("""COMPUTED_VALUE"""),"#5")</f>
        <v>#5</v>
      </c>
      <c r="D115" s="61" t="str">
        <f ca="1">IFERROR(__xludf.DUMMYFUNCTION("""COMPUTED_VALUE"""),"0.75-0.75""")</f>
        <v>0.75-0.75"</v>
      </c>
      <c r="E115" s="61" t="str">
        <f ca="1">IFERROR(__xludf.DUMMYFUNCTION("""COMPUTED_VALUE"""),"4-4'")</f>
        <v>4-4'</v>
      </c>
      <c r="F115" s="62">
        <f ca="1">IFERROR(__xludf.DUMMYFUNCTION("""COMPUTED_VALUE"""),1)</f>
        <v>1</v>
      </c>
      <c r="G115" s="63">
        <f ca="1">IFERROR(__xludf.DUMMYFUNCTION("""COMPUTED_VALUE"""),55)</f>
        <v>55</v>
      </c>
    </row>
    <row r="116" spans="1:7" x14ac:dyDescent="0.2">
      <c r="A116" s="61" t="str">
        <f ca="1">IFERROR(__xludf.DUMMYFUNCTION("""COMPUTED_VALUE"""),"Peach - Elberta")</f>
        <v>Peach - Elberta</v>
      </c>
      <c r="B116" s="61">
        <f ca="1">IFERROR(__xludf.DUMMYFUNCTION("""COMPUTED_VALUE"""),5)</f>
        <v>5</v>
      </c>
      <c r="C116" s="61" t="str">
        <f ca="1">IFERROR(__xludf.DUMMYFUNCTION("""COMPUTED_VALUE"""),"#5")</f>
        <v>#5</v>
      </c>
      <c r="D116" s="61" t="str">
        <f ca="1">IFERROR(__xludf.DUMMYFUNCTION("""COMPUTED_VALUE"""),"0.5-1.25""")</f>
        <v>0.5-1.25"</v>
      </c>
      <c r="E116" s="61" t="str">
        <f ca="1">IFERROR(__xludf.DUMMYFUNCTION("""COMPUTED_VALUE"""),"3.5-6'")</f>
        <v>3.5-6'</v>
      </c>
      <c r="F116" s="62">
        <f ca="1">IFERROR(__xludf.DUMMYFUNCTION("""COMPUTED_VALUE"""),67)</f>
        <v>67</v>
      </c>
      <c r="G116" s="63">
        <f ca="1">IFERROR(__xludf.DUMMYFUNCTION("""COMPUTED_VALUE"""),55)</f>
        <v>55</v>
      </c>
    </row>
    <row r="117" spans="1:7" x14ac:dyDescent="0.2">
      <c r="A117" s="61" t="str">
        <f ca="1">IFERROR(__xludf.DUMMYFUNCTION("""COMPUTED_VALUE"""),"Peach - Harvester")</f>
        <v>Peach - Harvester</v>
      </c>
      <c r="B117" s="61">
        <f ca="1">IFERROR(__xludf.DUMMYFUNCTION("""COMPUTED_VALUE"""),5)</f>
        <v>5</v>
      </c>
      <c r="C117" s="61" t="str">
        <f ca="1">IFERROR(__xludf.DUMMYFUNCTION("""COMPUTED_VALUE"""),"#5")</f>
        <v>#5</v>
      </c>
      <c r="D117" s="61" t="str">
        <f ca="1">IFERROR(__xludf.DUMMYFUNCTION("""COMPUTED_VALUE"""),"0.75-1.25""")</f>
        <v>0.75-1.25"</v>
      </c>
      <c r="E117" s="61" t="str">
        <f ca="1">IFERROR(__xludf.DUMMYFUNCTION("""COMPUTED_VALUE"""),"4-8'")</f>
        <v>4-8'</v>
      </c>
      <c r="F117" s="62">
        <f ca="1">IFERROR(__xludf.DUMMYFUNCTION("""COMPUTED_VALUE"""),59)</f>
        <v>59</v>
      </c>
      <c r="G117" s="63">
        <f ca="1">IFERROR(__xludf.DUMMYFUNCTION("""COMPUTED_VALUE"""),55)</f>
        <v>55</v>
      </c>
    </row>
    <row r="118" spans="1:7" x14ac:dyDescent="0.2">
      <c r="A118" s="61" t="str">
        <f ca="1">IFERROR(__xludf.DUMMYFUNCTION("""COMPUTED_VALUE"""),"Peach - Redhaven")</f>
        <v>Peach - Redhaven</v>
      </c>
      <c r="B118" s="61">
        <f ca="1">IFERROR(__xludf.DUMMYFUNCTION("""COMPUTED_VALUE"""),5)</f>
        <v>5</v>
      </c>
      <c r="C118" s="61" t="str">
        <f ca="1">IFERROR(__xludf.DUMMYFUNCTION("""COMPUTED_VALUE"""),"#5")</f>
        <v>#5</v>
      </c>
      <c r="D118" s="61" t="str">
        <f ca="1">IFERROR(__xludf.DUMMYFUNCTION("""COMPUTED_VALUE"""),"0.75-1""")</f>
        <v>0.75-1"</v>
      </c>
      <c r="E118" s="61" t="str">
        <f ca="1">IFERROR(__xludf.DUMMYFUNCTION("""COMPUTED_VALUE"""),"4-7'")</f>
        <v>4-7'</v>
      </c>
      <c r="F118" s="62">
        <f ca="1">IFERROR(__xludf.DUMMYFUNCTION("""COMPUTED_VALUE"""),70)</f>
        <v>70</v>
      </c>
      <c r="G118" s="63">
        <f ca="1">IFERROR(__xludf.DUMMYFUNCTION("""COMPUTED_VALUE"""),55)</f>
        <v>55</v>
      </c>
    </row>
    <row r="119" spans="1:7" x14ac:dyDescent="0.2">
      <c r="A119" s="61" t="str">
        <f ca="1">IFERROR(__xludf.DUMMYFUNCTION("""COMPUTED_VALUE"""),"Peach - Redskin")</f>
        <v>Peach - Redskin</v>
      </c>
      <c r="B119" s="61">
        <f ca="1">IFERROR(__xludf.DUMMYFUNCTION("""COMPUTED_VALUE"""),5)</f>
        <v>5</v>
      </c>
      <c r="C119" s="61" t="str">
        <f ca="1">IFERROR(__xludf.DUMMYFUNCTION("""COMPUTED_VALUE"""),"#5")</f>
        <v>#5</v>
      </c>
      <c r="D119" s="61" t="str">
        <f ca="1">IFERROR(__xludf.DUMMYFUNCTION("""COMPUTED_VALUE"""),"0.75-1""")</f>
        <v>0.75-1"</v>
      </c>
      <c r="E119" s="61" t="str">
        <f ca="1">IFERROR(__xludf.DUMMYFUNCTION("""COMPUTED_VALUE"""),"4-6'")</f>
        <v>4-6'</v>
      </c>
      <c r="F119" s="62">
        <f ca="1">IFERROR(__xludf.DUMMYFUNCTION("""COMPUTED_VALUE"""),5)</f>
        <v>5</v>
      </c>
      <c r="G119" s="63">
        <f ca="1">IFERROR(__xludf.DUMMYFUNCTION("""COMPUTED_VALUE"""),55)</f>
        <v>55</v>
      </c>
    </row>
    <row r="120" spans="1:7" x14ac:dyDescent="0.2">
      <c r="A120" s="61" t="str">
        <f ca="1">IFERROR(__xludf.DUMMYFUNCTION("""COMPUTED_VALUE"""),"Peach - Sugar May")</f>
        <v>Peach - Sugar May</v>
      </c>
      <c r="B120" s="61">
        <f ca="1">IFERROR(__xludf.DUMMYFUNCTION("""COMPUTED_VALUE"""),5)</f>
        <v>5</v>
      </c>
      <c r="C120" s="61" t="str">
        <f ca="1">IFERROR(__xludf.DUMMYFUNCTION("""COMPUTED_VALUE"""),"#5")</f>
        <v>#5</v>
      </c>
      <c r="D120" s="61" t="str">
        <f ca="1">IFERROR(__xludf.DUMMYFUNCTION("""COMPUTED_VALUE"""),"0.5-0.75""")</f>
        <v>0.5-0.75"</v>
      </c>
      <c r="E120" s="61" t="str">
        <f ca="1">IFERROR(__xludf.DUMMYFUNCTION("""COMPUTED_VALUE"""),"4-4'")</f>
        <v>4-4'</v>
      </c>
      <c r="F120" s="62">
        <f ca="1">IFERROR(__xludf.DUMMYFUNCTION("""COMPUTED_VALUE"""),3)</f>
        <v>3</v>
      </c>
      <c r="G120" s="63">
        <f ca="1">IFERROR(__xludf.DUMMYFUNCTION("""COMPUTED_VALUE"""),55)</f>
        <v>55</v>
      </c>
    </row>
    <row r="121" spans="1:7" x14ac:dyDescent="0.2">
      <c r="A121" s="61" t="str">
        <f ca="1">IFERROR(__xludf.DUMMYFUNCTION("""COMPUTED_VALUE"""),"Peach (Donut White) - Galaxy")</f>
        <v>Peach (Donut White) - Galaxy</v>
      </c>
      <c r="B121" s="61">
        <f ca="1">IFERROR(__xludf.DUMMYFUNCTION("""COMPUTED_VALUE"""),5)</f>
        <v>5</v>
      </c>
      <c r="C121" s="61" t="str">
        <f ca="1">IFERROR(__xludf.DUMMYFUNCTION("""COMPUTED_VALUE"""),"#5")</f>
        <v>#5</v>
      </c>
      <c r="D121" s="61" t="str">
        <f ca="1">IFERROR(__xludf.DUMMYFUNCTION("""COMPUTED_VALUE"""),"0.5-1.25""")</f>
        <v>0.5-1.25"</v>
      </c>
      <c r="E121" s="61" t="str">
        <f ca="1">IFERROR(__xludf.DUMMYFUNCTION("""COMPUTED_VALUE"""),"4-7'")</f>
        <v>4-7'</v>
      </c>
      <c r="F121" s="62">
        <f ca="1">IFERROR(__xludf.DUMMYFUNCTION("""COMPUTED_VALUE"""),72)</f>
        <v>72</v>
      </c>
      <c r="G121" s="63">
        <f ca="1">IFERROR(__xludf.DUMMYFUNCTION("""COMPUTED_VALUE"""),55)</f>
        <v>55</v>
      </c>
    </row>
    <row r="122" spans="1:7" x14ac:dyDescent="0.2">
      <c r="A122" s="61" t="str">
        <f ca="1">IFERROR(__xludf.DUMMYFUNCTION("""COMPUTED_VALUE"""),"Peach (Donut White) - Saturn")</f>
        <v>Peach (Donut White) - Saturn</v>
      </c>
      <c r="B122" s="61">
        <f ca="1">IFERROR(__xludf.DUMMYFUNCTION("""COMPUTED_VALUE"""),5)</f>
        <v>5</v>
      </c>
      <c r="C122" s="61" t="str">
        <f ca="1">IFERROR(__xludf.DUMMYFUNCTION("""COMPUTED_VALUE"""),"#5")</f>
        <v>#5</v>
      </c>
      <c r="D122" s="61" t="str">
        <f ca="1">IFERROR(__xludf.DUMMYFUNCTION("""COMPUTED_VALUE"""),"0.5-1""")</f>
        <v>0.5-1"</v>
      </c>
      <c r="E122" s="61" t="str">
        <f ca="1">IFERROR(__xludf.DUMMYFUNCTION("""COMPUTED_VALUE"""),"4-7.5'")</f>
        <v>4-7.5'</v>
      </c>
      <c r="F122" s="62">
        <f ca="1">IFERROR(__xludf.DUMMYFUNCTION("""COMPUTED_VALUE"""),125)</f>
        <v>125</v>
      </c>
      <c r="G122" s="63">
        <f ca="1">IFERROR(__xludf.DUMMYFUNCTION("""COMPUTED_VALUE"""),55)</f>
        <v>55</v>
      </c>
    </row>
    <row r="123" spans="1:7" x14ac:dyDescent="0.2">
      <c r="A123" s="61" t="str">
        <f ca="1">IFERROR(__xludf.DUMMYFUNCTION("""COMPUTED_VALUE"""),"Peach (White) - Giant Babcock")</f>
        <v>Peach (White) - Giant Babcock</v>
      </c>
      <c r="B123" s="61">
        <f ca="1">IFERROR(__xludf.DUMMYFUNCTION("""COMPUTED_VALUE"""),5)</f>
        <v>5</v>
      </c>
      <c r="C123" s="61" t="str">
        <f ca="1">IFERROR(__xludf.DUMMYFUNCTION("""COMPUTED_VALUE"""),"#5")</f>
        <v>#5</v>
      </c>
      <c r="D123" s="61" t="str">
        <f ca="1">IFERROR(__xludf.DUMMYFUNCTION("""COMPUTED_VALUE"""),"0.75-1""")</f>
        <v>0.75-1"</v>
      </c>
      <c r="E123" s="61" t="str">
        <f ca="1">IFERROR(__xludf.DUMMYFUNCTION("""COMPUTED_VALUE"""),"5-6.5'")</f>
        <v>5-6.5'</v>
      </c>
      <c r="F123" s="62">
        <f ca="1">IFERROR(__xludf.DUMMYFUNCTION("""COMPUTED_VALUE"""),18)</f>
        <v>18</v>
      </c>
      <c r="G123" s="63">
        <f ca="1">IFERROR(__xludf.DUMMYFUNCTION("""COMPUTED_VALUE"""),55)</f>
        <v>55</v>
      </c>
    </row>
    <row r="124" spans="1:7" x14ac:dyDescent="0.2">
      <c r="A124" s="61" t="str">
        <f ca="1">IFERROR(__xludf.DUMMYFUNCTION("""COMPUTED_VALUE"""),"Peach (White) - Snow Giant")</f>
        <v>Peach (White) - Snow Giant</v>
      </c>
      <c r="B124" s="61">
        <f ca="1">IFERROR(__xludf.DUMMYFUNCTION("""COMPUTED_VALUE"""),5)</f>
        <v>5</v>
      </c>
      <c r="C124" s="61" t="str">
        <f ca="1">IFERROR(__xludf.DUMMYFUNCTION("""COMPUTED_VALUE"""),"#5")</f>
        <v>#5</v>
      </c>
      <c r="D124" s="61" t="str">
        <f ca="1">IFERROR(__xludf.DUMMYFUNCTION("""COMPUTED_VALUE"""),"0.25-1""")</f>
        <v>0.25-1"</v>
      </c>
      <c r="E124" s="61" t="str">
        <f ca="1">IFERROR(__xludf.DUMMYFUNCTION("""COMPUTED_VALUE"""),"3-6'")</f>
        <v>3-6'</v>
      </c>
      <c r="F124" s="62">
        <f ca="1">IFERROR(__xludf.DUMMYFUNCTION("""COMPUTED_VALUE"""),91)</f>
        <v>91</v>
      </c>
      <c r="G124" s="63">
        <f ca="1">IFERROR(__xludf.DUMMYFUNCTION("""COMPUTED_VALUE"""),55)</f>
        <v>55</v>
      </c>
    </row>
    <row r="125" spans="1:7" x14ac:dyDescent="0.2">
      <c r="A125" s="61" t="str">
        <f ca="1">IFERROR(__xludf.DUMMYFUNCTION("""COMPUTED_VALUE"""),"Peach (White) - Sugar Giant")</f>
        <v>Peach (White) - Sugar Giant</v>
      </c>
      <c r="B125" s="61">
        <f ca="1">IFERROR(__xludf.DUMMYFUNCTION("""COMPUTED_VALUE"""),5)</f>
        <v>5</v>
      </c>
      <c r="C125" s="61" t="str">
        <f ca="1">IFERROR(__xludf.DUMMYFUNCTION("""COMPUTED_VALUE"""),"#5")</f>
        <v>#5</v>
      </c>
      <c r="D125" s="61" t="str">
        <f ca="1">IFERROR(__xludf.DUMMYFUNCTION("""COMPUTED_VALUE"""),"0.5-1""")</f>
        <v>0.5-1"</v>
      </c>
      <c r="E125" s="61" t="str">
        <f ca="1">IFERROR(__xludf.DUMMYFUNCTION("""COMPUTED_VALUE"""),"4-7'")</f>
        <v>4-7'</v>
      </c>
      <c r="F125" s="62">
        <f ca="1">IFERROR(__xludf.DUMMYFUNCTION("""COMPUTED_VALUE"""),64)</f>
        <v>64</v>
      </c>
      <c r="G125" s="63">
        <f ca="1">IFERROR(__xludf.DUMMYFUNCTION("""COMPUTED_VALUE"""),55)</f>
        <v>55</v>
      </c>
    </row>
    <row r="126" spans="1:7" x14ac:dyDescent="0.2">
      <c r="A126" s="61" t="str">
        <f ca="1">IFERROR(__xludf.DUMMYFUNCTION("""COMPUTED_VALUE"""),"Peach (White) - White Lady")</f>
        <v>Peach (White) - White Lady</v>
      </c>
      <c r="B126" s="61">
        <f ca="1">IFERROR(__xludf.DUMMYFUNCTION("""COMPUTED_VALUE"""),5)</f>
        <v>5</v>
      </c>
      <c r="C126" s="61" t="str">
        <f ca="1">IFERROR(__xludf.DUMMYFUNCTION("""COMPUTED_VALUE"""),"#5")</f>
        <v>#5</v>
      </c>
      <c r="D126" s="61" t="str">
        <f ca="1">IFERROR(__xludf.DUMMYFUNCTION("""COMPUTED_VALUE"""),"0.5-1.25""")</f>
        <v>0.5-1.25"</v>
      </c>
      <c r="E126" s="61" t="str">
        <f ca="1">IFERROR(__xludf.DUMMYFUNCTION("""COMPUTED_VALUE"""),"4-7'")</f>
        <v>4-7'</v>
      </c>
      <c r="F126" s="62">
        <f ca="1">IFERROR(__xludf.DUMMYFUNCTION("""COMPUTED_VALUE"""),171)</f>
        <v>171</v>
      </c>
      <c r="G126" s="63">
        <f ca="1">IFERROR(__xludf.DUMMYFUNCTION("""COMPUTED_VALUE"""),55)</f>
        <v>55</v>
      </c>
    </row>
    <row r="127" spans="1:7" x14ac:dyDescent="0.2">
      <c r="A127" s="61" t="str">
        <f ca="1">IFERROR(__xludf.DUMMYFUNCTION("""COMPUTED_VALUE"""),"Pear - Ayers")</f>
        <v>Pear - Ayers</v>
      </c>
      <c r="B127" s="61">
        <f ca="1">IFERROR(__xludf.DUMMYFUNCTION("""COMPUTED_VALUE"""),5)</f>
        <v>5</v>
      </c>
      <c r="C127" s="61" t="str">
        <f ca="1">IFERROR(__xludf.DUMMYFUNCTION("""COMPUTED_VALUE"""),"#5")</f>
        <v>#5</v>
      </c>
      <c r="D127" s="61" t="str">
        <f ca="1">IFERROR(__xludf.DUMMYFUNCTION("""COMPUTED_VALUE"""),"0.75-1.5""")</f>
        <v>0.75-1.5"</v>
      </c>
      <c r="E127" s="61" t="str">
        <f ca="1">IFERROR(__xludf.DUMMYFUNCTION("""COMPUTED_VALUE"""),"7-10'")</f>
        <v>7-10'</v>
      </c>
      <c r="F127" s="62">
        <f ca="1">IFERROR(__xludf.DUMMYFUNCTION("""COMPUTED_VALUE"""),118)</f>
        <v>118</v>
      </c>
      <c r="G127" s="63">
        <f ca="1">IFERROR(__xludf.DUMMYFUNCTION("""COMPUTED_VALUE"""),55)</f>
        <v>55</v>
      </c>
    </row>
    <row r="128" spans="1:7" x14ac:dyDescent="0.2">
      <c r="A128" s="61" t="str">
        <f ca="1">IFERROR(__xludf.DUMMYFUNCTION("""COMPUTED_VALUE"""),"Pear - Ayers")</f>
        <v>Pear - Ayers</v>
      </c>
      <c r="B128" s="61">
        <f ca="1">IFERROR(__xludf.DUMMYFUNCTION("""COMPUTED_VALUE"""),7)</f>
        <v>7</v>
      </c>
      <c r="C128" s="61" t="str">
        <f ca="1">IFERROR(__xludf.DUMMYFUNCTION("""COMPUTED_VALUE"""),"#7")</f>
        <v>#7</v>
      </c>
      <c r="D128" s="61" t="str">
        <f ca="1">IFERROR(__xludf.DUMMYFUNCTION("""COMPUTED_VALUE"""),"1-1.25""")</f>
        <v>1-1.25"</v>
      </c>
      <c r="E128" s="61" t="str">
        <f ca="1">IFERROR(__xludf.DUMMYFUNCTION("""COMPUTED_VALUE"""),"10-13'")</f>
        <v>10-13'</v>
      </c>
      <c r="F128" s="62">
        <f ca="1">IFERROR(__xludf.DUMMYFUNCTION("""COMPUTED_VALUE"""),5)</f>
        <v>5</v>
      </c>
      <c r="G128" s="63">
        <f ca="1">IFERROR(__xludf.DUMMYFUNCTION("""COMPUTED_VALUE"""),80)</f>
        <v>80</v>
      </c>
    </row>
    <row r="129" spans="1:7" x14ac:dyDescent="0.2">
      <c r="A129" s="61" t="str">
        <f ca="1">IFERROR(__xludf.DUMMYFUNCTION("""COMPUTED_VALUE"""),"Pear - Bartlett")</f>
        <v>Pear - Bartlett</v>
      </c>
      <c r="B129" s="61">
        <f ca="1">IFERROR(__xludf.DUMMYFUNCTION("""COMPUTED_VALUE"""),5)</f>
        <v>5</v>
      </c>
      <c r="C129" s="61" t="str">
        <f ca="1">IFERROR(__xludf.DUMMYFUNCTION("""COMPUTED_VALUE"""),"#5")</f>
        <v>#5</v>
      </c>
      <c r="D129" s="61" t="str">
        <f ca="1">IFERROR(__xludf.DUMMYFUNCTION("""COMPUTED_VALUE"""),"0.5-1.25""")</f>
        <v>0.5-1.25"</v>
      </c>
      <c r="E129" s="61" t="str">
        <f ca="1">IFERROR(__xludf.DUMMYFUNCTION("""COMPUTED_VALUE"""),"5-10'")</f>
        <v>5-10'</v>
      </c>
      <c r="F129" s="62">
        <f ca="1">IFERROR(__xludf.DUMMYFUNCTION("""COMPUTED_VALUE"""),228)</f>
        <v>228</v>
      </c>
      <c r="G129" s="63">
        <f ca="1">IFERROR(__xludf.DUMMYFUNCTION("""COMPUTED_VALUE"""),55)</f>
        <v>55</v>
      </c>
    </row>
    <row r="130" spans="1:7" x14ac:dyDescent="0.2">
      <c r="A130" s="61" t="str">
        <f ca="1">IFERROR(__xludf.DUMMYFUNCTION("""COMPUTED_VALUE"""),"Pear - Bartlett")</f>
        <v>Pear - Bartlett</v>
      </c>
      <c r="B130" s="61">
        <f ca="1">IFERROR(__xludf.DUMMYFUNCTION("""COMPUTED_VALUE"""),7)</f>
        <v>7</v>
      </c>
      <c r="C130" s="61" t="str">
        <f ca="1">IFERROR(__xludf.DUMMYFUNCTION("""COMPUTED_VALUE"""),"#7")</f>
        <v>#7</v>
      </c>
      <c r="D130" s="61" t="str">
        <f ca="1">IFERROR(__xludf.DUMMYFUNCTION("""COMPUTED_VALUE"""),"1-1.75""")</f>
        <v>1-1.75"</v>
      </c>
      <c r="E130" s="61" t="str">
        <f ca="1">IFERROR(__xludf.DUMMYFUNCTION("""COMPUTED_VALUE"""),"6.5-11'")</f>
        <v>6.5-11'</v>
      </c>
      <c r="F130" s="62">
        <f ca="1">IFERROR(__xludf.DUMMYFUNCTION("""COMPUTED_VALUE"""),162)</f>
        <v>162</v>
      </c>
      <c r="G130" s="63">
        <f ca="1">IFERROR(__xludf.DUMMYFUNCTION("""COMPUTED_VALUE"""),80)</f>
        <v>80</v>
      </c>
    </row>
    <row r="131" spans="1:7" x14ac:dyDescent="0.2">
      <c r="A131" s="61" t="str">
        <f ca="1">IFERROR(__xludf.DUMMYFUNCTION("""COMPUTED_VALUE"""),"Pear - Bartlett")</f>
        <v>Pear - Bartlett</v>
      </c>
      <c r="B131" s="61" t="str">
        <f ca="1">IFERROR(__xludf.DUMMYFUNCTION("""COMPUTED_VALUE"""),"10")</f>
        <v>10</v>
      </c>
      <c r="C131" s="61" t="str">
        <f ca="1">IFERROR(__xludf.DUMMYFUNCTION("""COMPUTED_VALUE"""),"#10")</f>
        <v>#10</v>
      </c>
      <c r="D131" s="61" t="str">
        <f ca="1">IFERROR(__xludf.DUMMYFUNCTION("""COMPUTED_VALUE"""),"1-1.25""")</f>
        <v>1-1.25"</v>
      </c>
      <c r="E131" s="61" t="str">
        <f ca="1">IFERROR(__xludf.DUMMYFUNCTION("""COMPUTED_VALUE"""),"7-9'")</f>
        <v>7-9'</v>
      </c>
      <c r="F131" s="62">
        <f ca="1">IFERROR(__xludf.DUMMYFUNCTION("""COMPUTED_VALUE"""),19)</f>
        <v>19</v>
      </c>
      <c r="G131" s="63">
        <f ca="1">IFERROR(__xludf.DUMMYFUNCTION("""COMPUTED_VALUE"""),100)</f>
        <v>100</v>
      </c>
    </row>
    <row r="132" spans="1:7" x14ac:dyDescent="0.2">
      <c r="A132" s="61" t="str">
        <f ca="1">IFERROR(__xludf.DUMMYFUNCTION("""COMPUTED_VALUE"""),"Pear - Golden Russet Bosc")</f>
        <v>Pear - Golden Russet Bosc</v>
      </c>
      <c r="B132" s="61">
        <f ca="1">IFERROR(__xludf.DUMMYFUNCTION("""COMPUTED_VALUE"""),5)</f>
        <v>5</v>
      </c>
      <c r="C132" s="61" t="str">
        <f ca="1">IFERROR(__xludf.DUMMYFUNCTION("""COMPUTED_VALUE"""),"#5")</f>
        <v>#5</v>
      </c>
      <c r="D132" s="61" t="str">
        <f ca="1">IFERROR(__xludf.DUMMYFUNCTION("""COMPUTED_VALUE"""),"1-1.25""")</f>
        <v>1-1.25"</v>
      </c>
      <c r="E132" s="61" t="str">
        <f ca="1">IFERROR(__xludf.DUMMYFUNCTION("""COMPUTED_VALUE"""),"7-10'")</f>
        <v>7-10'</v>
      </c>
      <c r="F132" s="62">
        <f ca="1">IFERROR(__xludf.DUMMYFUNCTION("""COMPUTED_VALUE"""),2)</f>
        <v>2</v>
      </c>
      <c r="G132" s="63">
        <f ca="1">IFERROR(__xludf.DUMMYFUNCTION("""COMPUTED_VALUE"""),55)</f>
        <v>55</v>
      </c>
    </row>
    <row r="133" spans="1:7" x14ac:dyDescent="0.2">
      <c r="A133" s="61" t="str">
        <f ca="1">IFERROR(__xludf.DUMMYFUNCTION("""COMPUTED_VALUE"""),"Pear - Golden Russet Bosc")</f>
        <v>Pear - Golden Russet Bosc</v>
      </c>
      <c r="B133" s="61">
        <f ca="1">IFERROR(__xludf.DUMMYFUNCTION("""COMPUTED_VALUE"""),7)</f>
        <v>7</v>
      </c>
      <c r="C133" s="61" t="str">
        <f ca="1">IFERROR(__xludf.DUMMYFUNCTION("""COMPUTED_VALUE"""),"#7")</f>
        <v>#7</v>
      </c>
      <c r="D133" s="61" t="str">
        <f ca="1">IFERROR(__xludf.DUMMYFUNCTION("""COMPUTED_VALUE"""),"0.75-1.25""")</f>
        <v>0.75-1.25"</v>
      </c>
      <c r="E133" s="61" t="str">
        <f ca="1">IFERROR(__xludf.DUMMYFUNCTION("""COMPUTED_VALUE"""),"6-11'")</f>
        <v>6-11'</v>
      </c>
      <c r="F133" s="62">
        <f ca="1">IFERROR(__xludf.DUMMYFUNCTION("""COMPUTED_VALUE"""),25)</f>
        <v>25</v>
      </c>
      <c r="G133" s="63">
        <f ca="1">IFERROR(__xludf.DUMMYFUNCTION("""COMPUTED_VALUE"""),80)</f>
        <v>80</v>
      </c>
    </row>
    <row r="134" spans="1:7" x14ac:dyDescent="0.2">
      <c r="A134" s="61" t="str">
        <f ca="1">IFERROR(__xludf.DUMMYFUNCTION("""COMPUTED_VALUE"""),"Pear - Harrowsweet")</f>
        <v>Pear - Harrowsweet</v>
      </c>
      <c r="B134" s="61">
        <f ca="1">IFERROR(__xludf.DUMMYFUNCTION("""COMPUTED_VALUE"""),5)</f>
        <v>5</v>
      </c>
      <c r="C134" s="61" t="str">
        <f ca="1">IFERROR(__xludf.DUMMYFUNCTION("""COMPUTED_VALUE"""),"#5")</f>
        <v>#5</v>
      </c>
      <c r="D134" s="61" t="str">
        <f ca="1">IFERROR(__xludf.DUMMYFUNCTION("""COMPUTED_VALUE"""),"0.5-1""")</f>
        <v>0.5-1"</v>
      </c>
      <c r="E134" s="61" t="str">
        <f ca="1">IFERROR(__xludf.DUMMYFUNCTION("""COMPUTED_VALUE"""),"6-8'")</f>
        <v>6-8'</v>
      </c>
      <c r="F134" s="62">
        <f ca="1">IFERROR(__xludf.DUMMYFUNCTION("""COMPUTED_VALUE"""),44)</f>
        <v>44</v>
      </c>
      <c r="G134" s="63">
        <f ca="1">IFERROR(__xludf.DUMMYFUNCTION("""COMPUTED_VALUE"""),55)</f>
        <v>55</v>
      </c>
    </row>
    <row r="135" spans="1:7" x14ac:dyDescent="0.2">
      <c r="A135" s="61" t="str">
        <f ca="1">IFERROR(__xludf.DUMMYFUNCTION("""COMPUTED_VALUE"""),"Pear - Harrowsweet")</f>
        <v>Pear - Harrowsweet</v>
      </c>
      <c r="B135" s="61">
        <f ca="1">IFERROR(__xludf.DUMMYFUNCTION("""COMPUTED_VALUE"""),7)</f>
        <v>7</v>
      </c>
      <c r="C135" s="61" t="str">
        <f ca="1">IFERROR(__xludf.DUMMYFUNCTION("""COMPUTED_VALUE"""),"#7")</f>
        <v>#7</v>
      </c>
      <c r="D135" s="61" t="str">
        <f ca="1">IFERROR(__xludf.DUMMYFUNCTION("""COMPUTED_VALUE"""),"1-1.25""")</f>
        <v>1-1.25"</v>
      </c>
      <c r="E135" s="61" t="str">
        <f ca="1">IFERROR(__xludf.DUMMYFUNCTION("""COMPUTED_VALUE"""),"7-10'")</f>
        <v>7-10'</v>
      </c>
      <c r="F135" s="62">
        <f ca="1">IFERROR(__xludf.DUMMYFUNCTION("""COMPUTED_VALUE"""),52)</f>
        <v>52</v>
      </c>
      <c r="G135" s="63">
        <f ca="1">IFERROR(__xludf.DUMMYFUNCTION("""COMPUTED_VALUE"""),80)</f>
        <v>80</v>
      </c>
    </row>
    <row r="136" spans="1:7" x14ac:dyDescent="0.2">
      <c r="A136" s="61" t="str">
        <f ca="1">IFERROR(__xludf.DUMMYFUNCTION("""COMPUTED_VALUE"""),"Pear - Kieffer")</f>
        <v>Pear - Kieffer</v>
      </c>
      <c r="B136" s="61">
        <f ca="1">IFERROR(__xludf.DUMMYFUNCTION("""COMPUTED_VALUE"""),5)</f>
        <v>5</v>
      </c>
      <c r="C136" s="61" t="str">
        <f ca="1">IFERROR(__xludf.DUMMYFUNCTION("""COMPUTED_VALUE"""),"#5")</f>
        <v>#5</v>
      </c>
      <c r="D136" s="61" t="str">
        <f ca="1">IFERROR(__xludf.DUMMYFUNCTION("""COMPUTED_VALUE"""),"1-1.25""")</f>
        <v>1-1.25"</v>
      </c>
      <c r="E136" s="61" t="str">
        <f ca="1">IFERROR(__xludf.DUMMYFUNCTION("""COMPUTED_VALUE"""),"6-12'")</f>
        <v>6-12'</v>
      </c>
      <c r="F136" s="62">
        <f ca="1">IFERROR(__xludf.DUMMYFUNCTION("""COMPUTED_VALUE"""),58)</f>
        <v>58</v>
      </c>
      <c r="G136" s="63">
        <f ca="1">IFERROR(__xludf.DUMMYFUNCTION("""COMPUTED_VALUE"""),55)</f>
        <v>55</v>
      </c>
    </row>
    <row r="137" spans="1:7" x14ac:dyDescent="0.2">
      <c r="A137" s="61" t="str">
        <f ca="1">IFERROR(__xludf.DUMMYFUNCTION("""COMPUTED_VALUE"""),"Pear - Kieffer")</f>
        <v>Pear - Kieffer</v>
      </c>
      <c r="B137" s="61">
        <f ca="1">IFERROR(__xludf.DUMMYFUNCTION("""COMPUTED_VALUE"""),7)</f>
        <v>7</v>
      </c>
      <c r="C137" s="61" t="str">
        <f ca="1">IFERROR(__xludf.DUMMYFUNCTION("""COMPUTED_VALUE"""),"#15")</f>
        <v>#15</v>
      </c>
      <c r="D137" s="61" t="str">
        <f ca="1">IFERROR(__xludf.DUMMYFUNCTION("""COMPUTED_VALUE"""),"1.5-1.75""")</f>
        <v>1.5-1.75"</v>
      </c>
      <c r="E137" s="61" t="str">
        <f ca="1">IFERROR(__xludf.DUMMYFUNCTION("""COMPUTED_VALUE"""),"11-12'")</f>
        <v>11-12'</v>
      </c>
      <c r="F137" s="62">
        <f ca="1">IFERROR(__xludf.DUMMYFUNCTION("""COMPUTED_VALUE"""),3)</f>
        <v>3</v>
      </c>
      <c r="G137" s="63">
        <f ca="1">IFERROR(__xludf.DUMMYFUNCTION("""COMPUTED_VALUE"""),150)</f>
        <v>150</v>
      </c>
    </row>
    <row r="138" spans="1:7" x14ac:dyDescent="0.2">
      <c r="A138" s="61" t="str">
        <f ca="1">IFERROR(__xludf.DUMMYFUNCTION("""COMPUTED_VALUE"""),"Pear - Kieffer")</f>
        <v>Pear - Kieffer</v>
      </c>
      <c r="B138" s="61"/>
      <c r="C138" s="61" t="str">
        <f ca="1">IFERROR(__xludf.DUMMYFUNCTION("""COMPUTED_VALUE"""),"#7")</f>
        <v>#7</v>
      </c>
      <c r="D138" s="61" t="str">
        <f ca="1">IFERROR(__xludf.DUMMYFUNCTION("""COMPUTED_VALUE"""),"1-1.5""")</f>
        <v>1-1.5"</v>
      </c>
      <c r="E138" s="61" t="str">
        <f ca="1">IFERROR(__xludf.DUMMYFUNCTION("""COMPUTED_VALUE"""),"8-12'")</f>
        <v>8-12'</v>
      </c>
      <c r="F138" s="62">
        <f ca="1">IFERROR(__xludf.DUMMYFUNCTION("""COMPUTED_VALUE"""),35)</f>
        <v>35</v>
      </c>
      <c r="G138" s="63">
        <f ca="1">IFERROR(__xludf.DUMMYFUNCTION("""COMPUTED_VALUE"""),80)</f>
        <v>80</v>
      </c>
    </row>
    <row r="139" spans="1:7" x14ac:dyDescent="0.2">
      <c r="A139" s="61" t="str">
        <f ca="1">IFERROR(__xludf.DUMMYFUNCTION("""COMPUTED_VALUE"""),"Pear - Kieffer")</f>
        <v>Pear - Kieffer</v>
      </c>
      <c r="B139" s="61">
        <f ca="1">IFERROR(__xludf.DUMMYFUNCTION("""COMPUTED_VALUE"""),10)</f>
        <v>10</v>
      </c>
      <c r="C139" s="61" t="str">
        <f ca="1">IFERROR(__xludf.DUMMYFUNCTION("""COMPUTED_VALUE"""),"#10")</f>
        <v>#10</v>
      </c>
      <c r="D139" s="61" t="str">
        <f ca="1">IFERROR(__xludf.DUMMYFUNCTION("""COMPUTED_VALUE"""),"1.25-1.5""")</f>
        <v>1.25-1.5"</v>
      </c>
      <c r="E139" s="61" t="str">
        <f ca="1">IFERROR(__xludf.DUMMYFUNCTION("""COMPUTED_VALUE"""),"8-10'")</f>
        <v>8-10'</v>
      </c>
      <c r="F139" s="62">
        <f ca="1">IFERROR(__xludf.DUMMYFUNCTION("""COMPUTED_VALUE"""),1)</f>
        <v>1</v>
      </c>
      <c r="G139" s="63">
        <f ca="1">IFERROR(__xludf.DUMMYFUNCTION("""COMPUTED_VALUE"""),100)</f>
        <v>100</v>
      </c>
    </row>
    <row r="140" spans="1:7" x14ac:dyDescent="0.2">
      <c r="A140" s="61" t="str">
        <f ca="1">IFERROR(__xludf.DUMMYFUNCTION("""COMPUTED_VALUE"""),"Pear - Moonglow")</f>
        <v>Pear - Moonglow</v>
      </c>
      <c r="B140" s="61">
        <f ca="1">IFERROR(__xludf.DUMMYFUNCTION("""COMPUTED_VALUE"""),5)</f>
        <v>5</v>
      </c>
      <c r="C140" s="61" t="str">
        <f ca="1">IFERROR(__xludf.DUMMYFUNCTION("""COMPUTED_VALUE"""),"#5")</f>
        <v>#5</v>
      </c>
      <c r="D140" s="61" t="str">
        <f ca="1">IFERROR(__xludf.DUMMYFUNCTION("""COMPUTED_VALUE"""),"0.75-1""")</f>
        <v>0.75-1"</v>
      </c>
      <c r="E140" s="61" t="str">
        <f ca="1">IFERROR(__xludf.DUMMYFUNCTION("""COMPUTED_VALUE"""),"5-10'")</f>
        <v>5-10'</v>
      </c>
      <c r="F140" s="62">
        <f ca="1">IFERROR(__xludf.DUMMYFUNCTION("""COMPUTED_VALUE"""),244)</f>
        <v>244</v>
      </c>
      <c r="G140" s="63">
        <f ca="1">IFERROR(__xludf.DUMMYFUNCTION("""COMPUTED_VALUE"""),55)</f>
        <v>55</v>
      </c>
    </row>
    <row r="141" spans="1:7" x14ac:dyDescent="0.2">
      <c r="A141" s="61" t="str">
        <f ca="1">IFERROR(__xludf.DUMMYFUNCTION("""COMPUTED_VALUE"""),"Pear - Moonglow")</f>
        <v>Pear - Moonglow</v>
      </c>
      <c r="B141" s="61">
        <f ca="1">IFERROR(__xludf.DUMMYFUNCTION("""COMPUTED_VALUE"""),7)</f>
        <v>7</v>
      </c>
      <c r="C141" s="61" t="str">
        <f ca="1">IFERROR(__xludf.DUMMYFUNCTION("""COMPUTED_VALUE"""),"#7")</f>
        <v>#7</v>
      </c>
      <c r="D141" s="61" t="str">
        <f ca="1">IFERROR(__xludf.DUMMYFUNCTION("""COMPUTED_VALUE"""),"0.75-1.5""")</f>
        <v>0.75-1.5"</v>
      </c>
      <c r="E141" s="61" t="str">
        <f ca="1">IFERROR(__xludf.DUMMYFUNCTION("""COMPUTED_VALUE"""),"6-10'")</f>
        <v>6-10'</v>
      </c>
      <c r="F141" s="62">
        <f ca="1">IFERROR(__xludf.DUMMYFUNCTION("""COMPUTED_VALUE"""),31)</f>
        <v>31</v>
      </c>
      <c r="G141" s="63">
        <f ca="1">IFERROR(__xludf.DUMMYFUNCTION("""COMPUTED_VALUE"""),80)</f>
        <v>80</v>
      </c>
    </row>
    <row r="142" spans="1:7" x14ac:dyDescent="0.2">
      <c r="A142" s="61" t="str">
        <f ca="1">IFERROR(__xludf.DUMMYFUNCTION("""COMPUTED_VALUE"""),"Pear - Moonglow")</f>
        <v>Pear - Moonglow</v>
      </c>
      <c r="B142" s="61" t="str">
        <f ca="1">IFERROR(__xludf.DUMMYFUNCTION("""COMPUTED_VALUE"""),"10")</f>
        <v>10</v>
      </c>
      <c r="C142" s="61" t="str">
        <f ca="1">IFERROR(__xludf.DUMMYFUNCTION("""COMPUTED_VALUE"""),"#10")</f>
        <v>#10</v>
      </c>
      <c r="D142" s="61" t="str">
        <f ca="1">IFERROR(__xludf.DUMMYFUNCTION("""COMPUTED_VALUE"""),"1.5-1.75""")</f>
        <v>1.5-1.75"</v>
      </c>
      <c r="E142" s="61" t="str">
        <f ca="1">IFERROR(__xludf.DUMMYFUNCTION("""COMPUTED_VALUE"""),"8.5-10'")</f>
        <v>8.5-10'</v>
      </c>
      <c r="F142" s="62">
        <f ca="1">IFERROR(__xludf.DUMMYFUNCTION("""COMPUTED_VALUE"""),15)</f>
        <v>15</v>
      </c>
      <c r="G142" s="63">
        <f ca="1">IFERROR(__xludf.DUMMYFUNCTION("""COMPUTED_VALUE"""),100)</f>
        <v>100</v>
      </c>
    </row>
    <row r="143" spans="1:7" x14ac:dyDescent="0.2">
      <c r="A143" s="61" t="str">
        <f ca="1">IFERROR(__xludf.DUMMYFUNCTION("""COMPUTED_VALUE"""),"Pear - Potomac")</f>
        <v>Pear - Potomac</v>
      </c>
      <c r="B143" s="61">
        <f ca="1">IFERROR(__xludf.DUMMYFUNCTION("""COMPUTED_VALUE"""),7)</f>
        <v>7</v>
      </c>
      <c r="C143" s="61" t="str">
        <f ca="1">IFERROR(__xludf.DUMMYFUNCTION("""COMPUTED_VALUE"""),"#7")</f>
        <v>#7</v>
      </c>
      <c r="D143" s="61" t="str">
        <f ca="1">IFERROR(__xludf.DUMMYFUNCTION("""COMPUTED_VALUE"""),"1-1.25""")</f>
        <v>1-1.25"</v>
      </c>
      <c r="E143" s="61" t="str">
        <f ca="1">IFERROR(__xludf.DUMMYFUNCTION("""COMPUTED_VALUE"""),"7-10'")</f>
        <v>7-10'</v>
      </c>
      <c r="F143" s="62">
        <f ca="1">IFERROR(__xludf.DUMMYFUNCTION("""COMPUTED_VALUE"""),21)</f>
        <v>21</v>
      </c>
      <c r="G143" s="63">
        <f ca="1">IFERROR(__xludf.DUMMYFUNCTION("""COMPUTED_VALUE"""),80)</f>
        <v>80</v>
      </c>
    </row>
    <row r="144" spans="1:7" x14ac:dyDescent="0.2">
      <c r="A144" s="61" t="str">
        <f ca="1">IFERROR(__xludf.DUMMYFUNCTION("""COMPUTED_VALUE"""),"Persimmon - Fuyu")</f>
        <v>Persimmon - Fuyu</v>
      </c>
      <c r="B144" s="61">
        <f ca="1">IFERROR(__xludf.DUMMYFUNCTION("""COMPUTED_VALUE"""),5)</f>
        <v>5</v>
      </c>
      <c r="C144" s="61" t="str">
        <f ca="1">IFERROR(__xludf.DUMMYFUNCTION("""COMPUTED_VALUE"""),"#5")</f>
        <v>#5</v>
      </c>
      <c r="D144" s="61" t="str">
        <f ca="1">IFERROR(__xludf.DUMMYFUNCTION("""COMPUTED_VALUE"""),"0.5-1""")</f>
        <v>0.5-1"</v>
      </c>
      <c r="E144" s="61" t="str">
        <f ca="1">IFERROR(__xludf.DUMMYFUNCTION("""COMPUTED_VALUE"""),"4-8'")</f>
        <v>4-8'</v>
      </c>
      <c r="F144" s="62">
        <f ca="1">IFERROR(__xludf.DUMMYFUNCTION("""COMPUTED_VALUE"""),204)</f>
        <v>204</v>
      </c>
      <c r="G144" s="63">
        <f ca="1">IFERROR(__xludf.DUMMYFUNCTION("""COMPUTED_VALUE"""),100)</f>
        <v>100</v>
      </c>
    </row>
    <row r="145" spans="1:7" x14ac:dyDescent="0.2">
      <c r="A145" s="61" t="str">
        <f ca="1">IFERROR(__xludf.DUMMYFUNCTION("""COMPUTED_VALUE"""),"Persimmon - Fuyu")</f>
        <v>Persimmon - Fuyu</v>
      </c>
      <c r="B145" s="61">
        <f ca="1">IFERROR(__xludf.DUMMYFUNCTION("""COMPUTED_VALUE"""),7)</f>
        <v>7</v>
      </c>
      <c r="C145" s="61" t="str">
        <f ca="1">IFERROR(__xludf.DUMMYFUNCTION("""COMPUTED_VALUE"""),"#7")</f>
        <v>#7</v>
      </c>
      <c r="D145" s="61" t="str">
        <f ca="1">IFERROR(__xludf.DUMMYFUNCTION("""COMPUTED_VALUE"""),"0.5-0.75""")</f>
        <v>0.5-0.75"</v>
      </c>
      <c r="E145" s="61" t="str">
        <f ca="1">IFERROR(__xludf.DUMMYFUNCTION("""COMPUTED_VALUE"""),"3-5'")</f>
        <v>3-5'</v>
      </c>
      <c r="F145" s="62">
        <f ca="1">IFERROR(__xludf.DUMMYFUNCTION("""COMPUTED_VALUE"""),1)</f>
        <v>1</v>
      </c>
      <c r="G145" s="63">
        <f ca="1">IFERROR(__xludf.DUMMYFUNCTION("""COMPUTED_VALUE"""),100)</f>
        <v>100</v>
      </c>
    </row>
    <row r="146" spans="1:7" x14ac:dyDescent="0.2">
      <c r="A146" s="61" t="str">
        <f ca="1">IFERROR(__xludf.DUMMYFUNCTION("""COMPUTED_VALUE"""),"Persimmon - Giant Fuyu")</f>
        <v>Persimmon - Giant Fuyu</v>
      </c>
      <c r="B146" s="61">
        <f ca="1">IFERROR(__xludf.DUMMYFUNCTION("""COMPUTED_VALUE"""),5)</f>
        <v>5</v>
      </c>
      <c r="C146" s="61" t="str">
        <f ca="1">IFERROR(__xludf.DUMMYFUNCTION("""COMPUTED_VALUE"""),"#5")</f>
        <v>#5</v>
      </c>
      <c r="D146" s="61" t="str">
        <f ca="1">IFERROR(__xludf.DUMMYFUNCTION("""COMPUTED_VALUE"""),"0.5-1""")</f>
        <v>0.5-1"</v>
      </c>
      <c r="E146" s="61" t="str">
        <f ca="1">IFERROR(__xludf.DUMMYFUNCTION("""COMPUTED_VALUE"""),"4-7'")</f>
        <v>4-7'</v>
      </c>
      <c r="F146" s="62">
        <f ca="1">IFERROR(__xludf.DUMMYFUNCTION("""COMPUTED_VALUE"""),29)</f>
        <v>29</v>
      </c>
      <c r="G146" s="63">
        <f ca="1">IFERROR(__xludf.DUMMYFUNCTION("""COMPUTED_VALUE"""),100)</f>
        <v>100</v>
      </c>
    </row>
    <row r="147" spans="1:7" x14ac:dyDescent="0.2">
      <c r="A147" s="61" t="str">
        <f ca="1">IFERROR(__xludf.DUMMYFUNCTION("""COMPUTED_VALUE"""),"Persimmon - Hachiya")</f>
        <v>Persimmon - Hachiya</v>
      </c>
      <c r="B147" s="61">
        <f ca="1">IFERROR(__xludf.DUMMYFUNCTION("""COMPUTED_VALUE"""),5)</f>
        <v>5</v>
      </c>
      <c r="C147" s="61" t="str">
        <f ca="1">IFERROR(__xludf.DUMMYFUNCTION("""COMPUTED_VALUE"""),"#5")</f>
        <v>#5</v>
      </c>
      <c r="D147" s="61" t="str">
        <f ca="1">IFERROR(__xludf.DUMMYFUNCTION("""COMPUTED_VALUE"""),"0.75-1""")</f>
        <v>0.75-1"</v>
      </c>
      <c r="E147" s="61" t="str">
        <f ca="1">IFERROR(__xludf.DUMMYFUNCTION("""COMPUTED_VALUE"""),"5-6'")</f>
        <v>5-6'</v>
      </c>
      <c r="F147" s="62">
        <f ca="1">IFERROR(__xludf.DUMMYFUNCTION("""COMPUTED_VALUE"""),21)</f>
        <v>21</v>
      </c>
      <c r="G147" s="63">
        <f ca="1">IFERROR(__xludf.DUMMYFUNCTION("""COMPUTED_VALUE"""),100)</f>
        <v>100</v>
      </c>
    </row>
    <row r="148" spans="1:7" x14ac:dyDescent="0.2">
      <c r="A148" s="61" t="str">
        <f ca="1">IFERROR(__xludf.DUMMYFUNCTION("""COMPUTED_VALUE"""),"Persimmon - Lotus")</f>
        <v>Persimmon - Lotus</v>
      </c>
      <c r="B148" s="61" t="str">
        <f ca="1">IFERROR(__xludf.DUMMYFUNCTION("""COMPUTED_VALUE"""),"5")</f>
        <v>5</v>
      </c>
      <c r="C148" s="61" t="str">
        <f ca="1">IFERROR(__xludf.DUMMYFUNCTION("""COMPUTED_VALUE"""),"#5")</f>
        <v>#5</v>
      </c>
      <c r="D148" s="61" t="str">
        <f ca="1">IFERROR(__xludf.DUMMYFUNCTION("""COMPUTED_VALUE"""),"0.25-1""")</f>
        <v>0.25-1"</v>
      </c>
      <c r="E148" s="61" t="str">
        <f ca="1">IFERROR(__xludf.DUMMYFUNCTION("""COMPUTED_VALUE"""),"5-8'")</f>
        <v>5-8'</v>
      </c>
      <c r="F148" s="62">
        <f ca="1">IFERROR(__xludf.DUMMYFUNCTION("""COMPUTED_VALUE"""),35)</f>
        <v>35</v>
      </c>
      <c r="G148" s="63">
        <f ca="1">IFERROR(__xludf.DUMMYFUNCTION("""COMPUTED_VALUE"""),50)</f>
        <v>50</v>
      </c>
    </row>
    <row r="149" spans="1:7" x14ac:dyDescent="0.2">
      <c r="A149" s="61" t="str">
        <f ca="1">IFERROR(__xludf.DUMMYFUNCTION("""COMPUTED_VALUE"""),"Persimmon - Rosseyanka")</f>
        <v>Persimmon - Rosseyanka</v>
      </c>
      <c r="B149" s="61">
        <f ca="1">IFERROR(__xludf.DUMMYFUNCTION("""COMPUTED_VALUE"""),7)</f>
        <v>7</v>
      </c>
      <c r="C149" s="61" t="str">
        <f ca="1">IFERROR(__xludf.DUMMYFUNCTION("""COMPUTED_VALUE"""),"#7")</f>
        <v>#7</v>
      </c>
      <c r="D149" s="61" t="str">
        <f ca="1">IFERROR(__xludf.DUMMYFUNCTION("""COMPUTED_VALUE"""),"0.25-1""")</f>
        <v>0.25-1"</v>
      </c>
      <c r="E149" s="61" t="str">
        <f ca="1">IFERROR(__xludf.DUMMYFUNCTION("""COMPUTED_VALUE"""),"4-6.5'")</f>
        <v>4-6.5'</v>
      </c>
      <c r="F149" s="62">
        <f ca="1">IFERROR(__xludf.DUMMYFUNCTION("""COMPUTED_VALUE"""),16)</f>
        <v>16</v>
      </c>
      <c r="G149" s="63">
        <f ca="1">IFERROR(__xludf.DUMMYFUNCTION("""COMPUTED_VALUE"""),100)</f>
        <v>100</v>
      </c>
    </row>
    <row r="150" spans="1:7" x14ac:dyDescent="0.2">
      <c r="A150" s="61" t="str">
        <f ca="1">IFERROR(__xludf.DUMMYFUNCTION("""COMPUTED_VALUE"""),"Plum - Green Gage")</f>
        <v>Plum - Green Gage</v>
      </c>
      <c r="B150" s="61">
        <f ca="1">IFERROR(__xludf.DUMMYFUNCTION("""COMPUTED_VALUE"""),7)</f>
        <v>7</v>
      </c>
      <c r="C150" s="61" t="str">
        <f ca="1">IFERROR(__xludf.DUMMYFUNCTION("""COMPUTED_VALUE"""),"#7")</f>
        <v>#7</v>
      </c>
      <c r="D150" s="61" t="str">
        <f ca="1">IFERROR(__xludf.DUMMYFUNCTION("""COMPUTED_VALUE"""),"1-1.5""")</f>
        <v>1-1.5"</v>
      </c>
      <c r="E150" s="61" t="str">
        <f ca="1">IFERROR(__xludf.DUMMYFUNCTION("""COMPUTED_VALUE"""),"10-12'")</f>
        <v>10-12'</v>
      </c>
      <c r="F150" s="62">
        <f ca="1">IFERROR(__xludf.DUMMYFUNCTION("""COMPUTED_VALUE"""),46)</f>
        <v>46</v>
      </c>
      <c r="G150" s="63">
        <f ca="1">IFERROR(__xludf.DUMMYFUNCTION("""COMPUTED_VALUE"""),80)</f>
        <v>80</v>
      </c>
    </row>
    <row r="151" spans="1:7" x14ac:dyDescent="0.2">
      <c r="A151" s="61" t="str">
        <f ca="1">IFERROR(__xludf.DUMMYFUNCTION("""COMPUTED_VALUE"""),"Plum - NY9")</f>
        <v>Plum - NY9</v>
      </c>
      <c r="B151" s="61">
        <f ca="1">IFERROR(__xludf.DUMMYFUNCTION("""COMPUTED_VALUE"""),5)</f>
        <v>5</v>
      </c>
      <c r="C151" s="61" t="str">
        <f ca="1">IFERROR(__xludf.DUMMYFUNCTION("""COMPUTED_VALUE"""),"#5")</f>
        <v>#5</v>
      </c>
      <c r="D151" s="61" t="str">
        <f ca="1">IFERROR(__xludf.DUMMYFUNCTION("""COMPUTED_VALUE"""),"0.5-1""")</f>
        <v>0.5-1"</v>
      </c>
      <c r="E151" s="61" t="str">
        <f ca="1">IFERROR(__xludf.DUMMYFUNCTION("""COMPUTED_VALUE"""),"7-9'")</f>
        <v>7-9'</v>
      </c>
      <c r="F151" s="62">
        <f ca="1">IFERROR(__xludf.DUMMYFUNCTION("""COMPUTED_VALUE"""),53)</f>
        <v>53</v>
      </c>
      <c r="G151" s="63">
        <f ca="1">IFERROR(__xludf.DUMMYFUNCTION("""COMPUTED_VALUE"""),80)</f>
        <v>80</v>
      </c>
    </row>
    <row r="152" spans="1:7" x14ac:dyDescent="0.2">
      <c r="A152" s="61" t="str">
        <f ca="1">IFERROR(__xludf.DUMMYFUNCTION("""COMPUTED_VALUE"""),"Plum - NY9")</f>
        <v>Plum - NY9</v>
      </c>
      <c r="B152" s="61">
        <f ca="1">IFERROR(__xludf.DUMMYFUNCTION("""COMPUTED_VALUE"""),7)</f>
        <v>7</v>
      </c>
      <c r="C152" s="61" t="str">
        <f ca="1">IFERROR(__xludf.DUMMYFUNCTION("""COMPUTED_VALUE"""),"#7")</f>
        <v>#7</v>
      </c>
      <c r="D152" s="61" t="str">
        <f ca="1">IFERROR(__xludf.DUMMYFUNCTION("""COMPUTED_VALUE"""),"0.5-1.25""")</f>
        <v>0.5-1.25"</v>
      </c>
      <c r="E152" s="61" t="str">
        <f ca="1">IFERROR(__xludf.DUMMYFUNCTION("""COMPUTED_VALUE"""),"7-9.5'")</f>
        <v>7-9.5'</v>
      </c>
      <c r="F152" s="62">
        <f ca="1">IFERROR(__xludf.DUMMYFUNCTION("""COMPUTED_VALUE"""),20)</f>
        <v>20</v>
      </c>
      <c r="G152" s="63">
        <f ca="1">IFERROR(__xludf.DUMMYFUNCTION("""COMPUTED_VALUE"""),80)</f>
        <v>80</v>
      </c>
    </row>
    <row r="153" spans="1:7" x14ac:dyDescent="0.2">
      <c r="A153" s="61" t="str">
        <f ca="1">IFERROR(__xludf.DUMMYFUNCTION("""COMPUTED_VALUE"""),"Plum - Santa Rosa")</f>
        <v>Plum - Santa Rosa</v>
      </c>
      <c r="B153" s="61">
        <f ca="1">IFERROR(__xludf.DUMMYFUNCTION("""COMPUTED_VALUE"""),5)</f>
        <v>5</v>
      </c>
      <c r="C153" s="61" t="str">
        <f ca="1">IFERROR(__xludf.DUMMYFUNCTION("""COMPUTED_VALUE"""),"#5")</f>
        <v>#5</v>
      </c>
      <c r="D153" s="61" t="str">
        <f ca="1">IFERROR(__xludf.DUMMYFUNCTION("""COMPUTED_VALUE"""),"0.5-1.5""")</f>
        <v>0.5-1.5"</v>
      </c>
      <c r="E153" s="61" t="str">
        <f ca="1">IFERROR(__xludf.DUMMYFUNCTION("""COMPUTED_VALUE"""),"5-12'")</f>
        <v>5-12'</v>
      </c>
      <c r="F153" s="62">
        <f ca="1">IFERROR(__xludf.DUMMYFUNCTION("""COMPUTED_VALUE"""),92)</f>
        <v>92</v>
      </c>
      <c r="G153" s="63">
        <f ca="1">IFERROR(__xludf.DUMMYFUNCTION("""COMPUTED_VALUE"""),55)</f>
        <v>55</v>
      </c>
    </row>
    <row r="154" spans="1:7" x14ac:dyDescent="0.2">
      <c r="A154" s="61" t="str">
        <f ca="1">IFERROR(__xludf.DUMMYFUNCTION("""COMPUTED_VALUE"""),"Plum - Santa Rosa")</f>
        <v>Plum - Santa Rosa</v>
      </c>
      <c r="B154" s="61">
        <f ca="1">IFERROR(__xludf.DUMMYFUNCTION("""COMPUTED_VALUE"""),7)</f>
        <v>7</v>
      </c>
      <c r="C154" s="61" t="str">
        <f ca="1">IFERROR(__xludf.DUMMYFUNCTION("""COMPUTED_VALUE"""),"#7")</f>
        <v>#7</v>
      </c>
      <c r="D154" s="61" t="str">
        <f ca="1">IFERROR(__xludf.DUMMYFUNCTION("""COMPUTED_VALUE"""),"0.75-1.25""")</f>
        <v>0.75-1.25"</v>
      </c>
      <c r="E154" s="61" t="str">
        <f ca="1">IFERROR(__xludf.DUMMYFUNCTION("""COMPUTED_VALUE"""),"5-7'")</f>
        <v>5-7'</v>
      </c>
      <c r="F154" s="62">
        <f ca="1">IFERROR(__xludf.DUMMYFUNCTION("""COMPUTED_VALUE"""),34)</f>
        <v>34</v>
      </c>
      <c r="G154" s="63">
        <f ca="1">IFERROR(__xludf.DUMMYFUNCTION("""COMPUTED_VALUE"""),80)</f>
        <v>80</v>
      </c>
    </row>
    <row r="155" spans="1:7" x14ac:dyDescent="0.2">
      <c r="A155" s="61" t="str">
        <f ca="1">IFERROR(__xludf.DUMMYFUNCTION("""COMPUTED_VALUE"""),"Plum - Stanley (Prune)")</f>
        <v>Plum - Stanley (Prune)</v>
      </c>
      <c r="B155" s="61" t="str">
        <f ca="1">IFERROR(__xludf.DUMMYFUNCTION("""COMPUTED_VALUE"""),"5")</f>
        <v>5</v>
      </c>
      <c r="C155" s="61" t="str">
        <f ca="1">IFERROR(__xludf.DUMMYFUNCTION("""COMPUTED_VALUE"""),"#5")</f>
        <v>#5</v>
      </c>
      <c r="D155" s="61" t="str">
        <f ca="1">IFERROR(__xludf.DUMMYFUNCTION("""COMPUTED_VALUE"""),"0.75-1.25""")</f>
        <v>0.75-1.25"</v>
      </c>
      <c r="E155" s="61" t="str">
        <f ca="1">IFERROR(__xludf.DUMMYFUNCTION("""COMPUTED_VALUE"""),"5-7'")</f>
        <v>5-7'</v>
      </c>
      <c r="F155" s="62">
        <f ca="1">IFERROR(__xludf.DUMMYFUNCTION("""COMPUTED_VALUE"""),73)</f>
        <v>73</v>
      </c>
      <c r="G155" s="63">
        <f ca="1">IFERROR(__xludf.DUMMYFUNCTION("""COMPUTED_VALUE"""),55)</f>
        <v>55</v>
      </c>
    </row>
    <row r="156" spans="1:7" x14ac:dyDescent="0.2">
      <c r="A156" s="61" t="str">
        <f ca="1">IFERROR(__xludf.DUMMYFUNCTION("""COMPUTED_VALUE"""),"Raspberry - Heritage (Red)")</f>
        <v>Raspberry - Heritage (Red)</v>
      </c>
      <c r="B156" s="61">
        <f ca="1">IFERROR(__xludf.DUMMYFUNCTION("""COMPUTED_VALUE"""),5)</f>
        <v>5</v>
      </c>
      <c r="C156" s="61" t="str">
        <f ca="1">IFERROR(__xludf.DUMMYFUNCTION("""COMPUTED_VALUE"""),"#5")</f>
        <v>#5</v>
      </c>
      <c r="D156" s="61" t="str">
        <f ca="1">IFERROR(__xludf.DUMMYFUNCTION("""COMPUTED_VALUE"""),"Multi")</f>
        <v>Multi</v>
      </c>
      <c r="E156" s="61" t="str">
        <f ca="1">IFERROR(__xludf.DUMMYFUNCTION("""COMPUTED_VALUE"""),"0.5-2.5'")</f>
        <v>0.5-2.5'</v>
      </c>
      <c r="F156" s="62">
        <f ca="1">IFERROR(__xludf.DUMMYFUNCTION("""COMPUTED_VALUE"""),273)</f>
        <v>273</v>
      </c>
      <c r="G156" s="63">
        <f ca="1">IFERROR(__xludf.DUMMYFUNCTION("""COMPUTED_VALUE"""),35)</f>
        <v>35</v>
      </c>
    </row>
    <row r="157" spans="1:7" x14ac:dyDescent="0.2">
      <c r="A157" s="61" t="str">
        <f ca="1">IFERROR(__xludf.DUMMYFUNCTION("""COMPUTED_VALUE"""),"Raspberry - Nantahala")</f>
        <v>Raspberry - Nantahala</v>
      </c>
      <c r="B157" s="61">
        <f ca="1">IFERROR(__xludf.DUMMYFUNCTION("""COMPUTED_VALUE"""),5)</f>
        <v>5</v>
      </c>
      <c r="C157" s="61" t="str">
        <f ca="1">IFERROR(__xludf.DUMMYFUNCTION("""COMPUTED_VALUE"""),"#5")</f>
        <v>#5</v>
      </c>
      <c r="D157" s="61" t="str">
        <f ca="1">IFERROR(__xludf.DUMMYFUNCTION("""COMPUTED_VALUE"""),"Multi")</f>
        <v>Multi</v>
      </c>
      <c r="E157" s="61" t="str">
        <f ca="1">IFERROR(__xludf.DUMMYFUNCTION("""COMPUTED_VALUE"""),"1-2'")</f>
        <v>1-2'</v>
      </c>
      <c r="F157" s="62">
        <f ca="1">IFERROR(__xludf.DUMMYFUNCTION("""COMPUTED_VALUE"""),55)</f>
        <v>55</v>
      </c>
      <c r="G157" s="63">
        <f ca="1">IFERROR(__xludf.DUMMYFUNCTION("""COMPUTED_VALUE"""),35)</f>
        <v>35</v>
      </c>
    </row>
    <row r="158" spans="1:7" x14ac:dyDescent="0.2">
      <c r="A158" s="61" t="str">
        <f ca="1">IFERROR(__xludf.DUMMYFUNCTION("""COMPUTED_VALUE"""),"Raspberry - Royalty (Purple)")</f>
        <v>Raspberry - Royalty (Purple)</v>
      </c>
      <c r="B158" s="61">
        <f ca="1">IFERROR(__xludf.DUMMYFUNCTION("""COMPUTED_VALUE"""),5)</f>
        <v>5</v>
      </c>
      <c r="C158" s="61" t="str">
        <f ca="1">IFERROR(__xludf.DUMMYFUNCTION("""COMPUTED_VALUE"""),"#5")</f>
        <v>#5</v>
      </c>
      <c r="D158" s="61" t="str">
        <f ca="1">IFERROR(__xludf.DUMMYFUNCTION("""COMPUTED_VALUE"""),"Vine")</f>
        <v>Vine</v>
      </c>
      <c r="E158" s="61" t="str">
        <f ca="1">IFERROR(__xludf.DUMMYFUNCTION("""COMPUTED_VALUE"""),"2-4'")</f>
        <v>2-4'</v>
      </c>
      <c r="F158" s="62">
        <f ca="1">IFERROR(__xludf.DUMMYFUNCTION("""COMPUTED_VALUE"""),30)</f>
        <v>30</v>
      </c>
      <c r="G158" s="63">
        <f ca="1">IFERROR(__xludf.DUMMYFUNCTION("""COMPUTED_VALUE"""),35)</f>
        <v>35</v>
      </c>
    </row>
    <row r="159" spans="1:7" x14ac:dyDescent="0.2">
      <c r="A159" s="61" t="str">
        <f ca="1">IFERROR(__xludf.DUMMYFUNCTION("""COMPUTED_VALUE"""),"Raspberry (Yellow) - Anne")</f>
        <v>Raspberry (Yellow) - Anne</v>
      </c>
      <c r="B159" s="61">
        <f ca="1">IFERROR(__xludf.DUMMYFUNCTION("""COMPUTED_VALUE"""),5)</f>
        <v>5</v>
      </c>
      <c r="C159" s="61" t="str">
        <f ca="1">IFERROR(__xludf.DUMMYFUNCTION("""COMPUTED_VALUE"""),"#5")</f>
        <v>#5</v>
      </c>
      <c r="D159" s="61" t="str">
        <f ca="1">IFERROR(__xludf.DUMMYFUNCTION("""COMPUTED_VALUE"""),"Multi")</f>
        <v>Multi</v>
      </c>
      <c r="E159" s="61" t="str">
        <f ca="1">IFERROR(__xludf.DUMMYFUNCTION("""COMPUTED_VALUE"""),"1-3'")</f>
        <v>1-3'</v>
      </c>
      <c r="F159" s="62">
        <f ca="1">IFERROR(__xludf.DUMMYFUNCTION("""COMPUTED_VALUE"""),67)</f>
        <v>67</v>
      </c>
      <c r="G159" s="63">
        <f ca="1">IFERROR(__xludf.DUMMYFUNCTION("""COMPUTED_VALUE"""),35)</f>
        <v>35</v>
      </c>
    </row>
    <row r="160" spans="1:7" x14ac:dyDescent="0.2">
      <c r="A160" s="61" t="str">
        <f ca="1">IFERROR(__xludf.DUMMYFUNCTION("""COMPUTED_VALUE"""),"Stone Fruits - Misshapen/Damaged Trees (Discounted)")</f>
        <v>Stone Fruits - Misshapen/Damaged Trees (Discounted)</v>
      </c>
      <c r="B160" s="61">
        <f ca="1">IFERROR(__xludf.DUMMYFUNCTION("""COMPUTED_VALUE"""),6)</f>
        <v>6</v>
      </c>
      <c r="C160" s="61" t="str">
        <f ca="1">IFERROR(__xludf.DUMMYFUNCTION("""COMPUTED_VALUE"""),"#5")</f>
        <v>#5</v>
      </c>
      <c r="D160" s="61" t="str">
        <f ca="1">IFERROR(__xludf.DUMMYFUNCTION("""COMPUTED_VALUE"""),"0-0""")</f>
        <v>0-0"</v>
      </c>
      <c r="E160" s="61" t="str">
        <f ca="1">IFERROR(__xludf.DUMMYFUNCTION("""COMPUTED_VALUE"""),"0-0'")</f>
        <v>0-0'</v>
      </c>
      <c r="F160" s="62">
        <f ca="1">IFERROR(__xludf.DUMMYFUNCTION("""COMPUTED_VALUE"""),172)</f>
        <v>172</v>
      </c>
      <c r="G160" s="63">
        <f ca="1">IFERROR(__xludf.DUMMYFUNCTION("""COMPUTED_VALUE"""),30)</f>
        <v>30</v>
      </c>
    </row>
    <row r="161" spans="1:7" x14ac:dyDescent="0.2">
      <c r="A161" s="61" t="str">
        <f ca="1">IFERROR(__xludf.DUMMYFUNCTION("""COMPUTED_VALUE"""),"Walnut - Mesa Carpathian")</f>
        <v>Walnut - Mesa Carpathian</v>
      </c>
      <c r="B161" s="61" t="str">
        <f ca="1">IFERROR(__xludf.DUMMYFUNCTION("""COMPUTED_VALUE"""),"5 Tall Plastic")</f>
        <v>5 Tall Plastic</v>
      </c>
      <c r="C161" s="61" t="str">
        <f ca="1">IFERROR(__xludf.DUMMYFUNCTION("""COMPUTED_VALUE"""),"#5 Tall Plastic")</f>
        <v>#5 Tall Plastic</v>
      </c>
      <c r="D161" s="61" t="str">
        <f ca="1">IFERROR(__xludf.DUMMYFUNCTION("""COMPUTED_VALUE"""),"1-1.5""")</f>
        <v>1-1.5"</v>
      </c>
      <c r="E161" s="61" t="str">
        <f ca="1">IFERROR(__xludf.DUMMYFUNCTION("""COMPUTED_VALUE"""),"6-7'")</f>
        <v>6-7'</v>
      </c>
      <c r="F161" s="62">
        <f ca="1">IFERROR(__xludf.DUMMYFUNCTION("""COMPUTED_VALUE"""),8)</f>
        <v>8</v>
      </c>
      <c r="G161" s="63">
        <f ca="1">IFERROR(__xludf.DUMMYFUNCTION("""COMPUTED_VALUE"""),100)</f>
        <v>100</v>
      </c>
    </row>
    <row r="162" spans="1:7" x14ac:dyDescent="0.2">
      <c r="A162" s="61" t="str">
        <f ca="1">IFERROR(__xludf.DUMMYFUNCTION("""COMPUTED_VALUE"""),"zx - 1.5""x1.5""x6' Stakes")</f>
        <v>zx - 1.5"x1.5"x6' Stakes</v>
      </c>
      <c r="B162" s="61"/>
      <c r="C162" s="61"/>
      <c r="D162" s="61" t="str">
        <f ca="1">IFERROR(__xludf.DUMMYFUNCTION("""COMPUTED_VALUE"""),"0-0""")</f>
        <v>0-0"</v>
      </c>
      <c r="E162" s="61" t="str">
        <f ca="1">IFERROR(__xludf.DUMMYFUNCTION("""COMPUTED_VALUE"""),"0-0'")</f>
        <v>0-0'</v>
      </c>
      <c r="F162" s="62">
        <f ca="1">IFERROR(__xludf.DUMMYFUNCTION("""COMPUTED_VALUE"""),2408)</f>
        <v>2408</v>
      </c>
      <c r="G162" s="63">
        <f ca="1">IFERROR(__xludf.DUMMYFUNCTION("""COMPUTED_VALUE"""),3)</f>
        <v>3</v>
      </c>
    </row>
    <row r="163" spans="1:7" x14ac:dyDescent="0.2">
      <c r="A163" s="61" t="str">
        <f ca="1">IFERROR(__xludf.DUMMYFUNCTION("""COMPUTED_VALUE"""),"zx - 10' Orchard Ladder (extendable leg)")</f>
        <v>zx - 10' Orchard Ladder (extendable leg)</v>
      </c>
      <c r="B163" s="61"/>
      <c r="C163" s="61"/>
      <c r="D163" s="61" t="str">
        <f ca="1">IFERROR(__xludf.DUMMYFUNCTION("""COMPUTED_VALUE"""),"0-0""")</f>
        <v>0-0"</v>
      </c>
      <c r="E163" s="61" t="str">
        <f ca="1">IFERROR(__xludf.DUMMYFUNCTION("""COMPUTED_VALUE"""),"0-0'")</f>
        <v>0-0'</v>
      </c>
      <c r="F163" s="62">
        <f ca="1">IFERROR(__xludf.DUMMYFUNCTION("""COMPUTED_VALUE"""),11)</f>
        <v>11</v>
      </c>
      <c r="G163" s="63">
        <f ca="1">IFERROR(__xludf.DUMMYFUNCTION("""COMPUTED_VALUE"""),500)</f>
        <v>500</v>
      </c>
    </row>
    <row r="164" spans="1:7" x14ac:dyDescent="0.2">
      <c r="A164" s="61" t="str">
        <f ca="1">IFERROR(__xludf.DUMMYFUNCTION("""COMPUTED_VALUE"""),"zx - 10' Orchard Ladder (fixed)")</f>
        <v>zx - 10' Orchard Ladder (fixed)</v>
      </c>
      <c r="B164" s="61"/>
      <c r="C164" s="61"/>
      <c r="D164" s="61" t="str">
        <f ca="1">IFERROR(__xludf.DUMMYFUNCTION("""COMPUTED_VALUE"""),"0-0""")</f>
        <v>0-0"</v>
      </c>
      <c r="E164" s="61" t="str">
        <f ca="1">IFERROR(__xludf.DUMMYFUNCTION("""COMPUTED_VALUE"""),"0-0'")</f>
        <v>0-0'</v>
      </c>
      <c r="F164" s="62">
        <f ca="1">IFERROR(__xludf.DUMMYFUNCTION("""COMPUTED_VALUE"""),1)</f>
        <v>1</v>
      </c>
      <c r="G164" s="63">
        <f ca="1">IFERROR(__xludf.DUMMYFUNCTION("""COMPUTED_VALUE"""),435)</f>
        <v>435</v>
      </c>
    </row>
    <row r="165" spans="1:7" x14ac:dyDescent="0.2">
      <c r="A165" s="61" t="str">
        <f ca="1">IFERROR(__xludf.DUMMYFUNCTION("""COMPUTED_VALUE"""),"zx - 14' Orchard Ladder (extendable)")</f>
        <v>zx - 14' Orchard Ladder (extendable)</v>
      </c>
      <c r="B165" s="61" t="str">
        <f ca="1">IFERROR(__xludf.DUMMYFUNCTION("""COMPUTED_VALUE"""),"")</f>
        <v/>
      </c>
      <c r="C165" s="61"/>
      <c r="D165" s="61" t="str">
        <f ca="1">IFERROR(__xludf.DUMMYFUNCTION("""COMPUTED_VALUE"""),"0-0""")</f>
        <v>0-0"</v>
      </c>
      <c r="E165" s="61" t="str">
        <f ca="1">IFERROR(__xludf.DUMMYFUNCTION("""COMPUTED_VALUE"""),"0-0'")</f>
        <v>0-0'</v>
      </c>
      <c r="F165" s="62">
        <f ca="1">IFERROR(__xludf.DUMMYFUNCTION("""COMPUTED_VALUE"""),2)</f>
        <v>2</v>
      </c>
      <c r="G165" s="63">
        <f ca="1">IFERROR(__xludf.DUMMYFUNCTION("""COMPUTED_VALUE"""),620)</f>
        <v>620</v>
      </c>
    </row>
    <row r="166" spans="1:7" x14ac:dyDescent="0.2">
      <c r="A166" s="61" t="str">
        <f ca="1">IFERROR(__xludf.DUMMYFUNCTION("""COMPUTED_VALUE"""),"zx - 16' Orchard Ladder (fixed)")</f>
        <v>zx - 16' Orchard Ladder (fixed)</v>
      </c>
      <c r="B166" s="61"/>
      <c r="C166" s="61"/>
      <c r="D166" s="61" t="str">
        <f ca="1">IFERROR(__xludf.DUMMYFUNCTION("""COMPUTED_VALUE"""),"0-0""")</f>
        <v>0-0"</v>
      </c>
      <c r="E166" s="61" t="str">
        <f ca="1">IFERROR(__xludf.DUMMYFUNCTION("""COMPUTED_VALUE"""),"0-0'")</f>
        <v>0-0'</v>
      </c>
      <c r="F166" s="62">
        <f ca="1">IFERROR(__xludf.DUMMYFUNCTION("""COMPUTED_VALUE"""),5)</f>
        <v>5</v>
      </c>
      <c r="G166" s="63">
        <f ca="1">IFERROR(__xludf.DUMMYFUNCTION("""COMPUTED_VALUE"""),600)</f>
        <v>600</v>
      </c>
    </row>
    <row r="167" spans="1:7" x14ac:dyDescent="0.2">
      <c r="A167" s="61" t="str">
        <f ca="1">IFERROR(__xludf.DUMMYFUNCTION("""COMPUTED_VALUE"""),"zx - 4' Bark Protector")</f>
        <v>zx - 4' Bark Protector</v>
      </c>
      <c r="B167" s="61"/>
      <c r="C167" s="61"/>
      <c r="D167" s="61" t="str">
        <f ca="1">IFERROR(__xludf.DUMMYFUNCTION("""COMPUTED_VALUE"""),"0-0""")</f>
        <v>0-0"</v>
      </c>
      <c r="E167" s="61" t="str">
        <f ca="1">IFERROR(__xludf.DUMMYFUNCTION("""COMPUTED_VALUE"""),"0-0'")</f>
        <v>0-0'</v>
      </c>
      <c r="F167" s="62">
        <f ca="1">IFERROR(__xludf.DUMMYFUNCTION("""COMPUTED_VALUE"""),745)</f>
        <v>745</v>
      </c>
      <c r="G167" s="63">
        <f ca="1">IFERROR(__xludf.DUMMYFUNCTION("""COMPUTED_VALUE"""),10)</f>
        <v>10</v>
      </c>
    </row>
    <row r="168" spans="1:7" x14ac:dyDescent="0.2">
      <c r="A168" s="61" t="str">
        <f ca="1">IFERROR(__xludf.DUMMYFUNCTION("""COMPUTED_VALUE"""),"zx - 6' Orchard Ladder (extendable leg)")</f>
        <v>zx - 6' Orchard Ladder (extendable leg)</v>
      </c>
      <c r="B168" s="61"/>
      <c r="C168" s="61"/>
      <c r="D168" s="61" t="str">
        <f ca="1">IFERROR(__xludf.DUMMYFUNCTION("""COMPUTED_VALUE"""),"0-0""")</f>
        <v>0-0"</v>
      </c>
      <c r="E168" s="61" t="str">
        <f ca="1">IFERROR(__xludf.DUMMYFUNCTION("""COMPUTED_VALUE"""),"0-0'")</f>
        <v>0-0'</v>
      </c>
      <c r="F168" s="62">
        <f ca="1">IFERROR(__xludf.DUMMYFUNCTION("""COMPUTED_VALUE"""),2)</f>
        <v>2</v>
      </c>
      <c r="G168" s="63">
        <f ca="1">IFERROR(__xludf.DUMMYFUNCTION("""COMPUTED_VALUE"""),400)</f>
        <v>400</v>
      </c>
    </row>
    <row r="169" spans="1:7" x14ac:dyDescent="0.2">
      <c r="A169" s="51" t="str">
        <f ca="1">IFERROR(__xludf.DUMMYFUNCTION("""COMPUTED_VALUE"""),"zx - 8' Orchard Ladder (extendable leg)")</f>
        <v>zx - 8' Orchard Ladder (extendable leg)</v>
      </c>
      <c r="B169" s="51"/>
      <c r="C169" s="51"/>
      <c r="D169" s="51" t="str">
        <f ca="1">IFERROR(__xludf.DUMMYFUNCTION("""COMPUTED_VALUE"""),"0-0""")</f>
        <v>0-0"</v>
      </c>
      <c r="E169" s="51" t="str">
        <f ca="1">IFERROR(__xludf.DUMMYFUNCTION("""COMPUTED_VALUE"""),"0-0'")</f>
        <v>0-0'</v>
      </c>
      <c r="F169" s="64">
        <f ca="1">IFERROR(__xludf.DUMMYFUNCTION("""COMPUTED_VALUE"""),3)</f>
        <v>3</v>
      </c>
      <c r="G169" s="65">
        <f ca="1">IFERROR(__xludf.DUMMYFUNCTION("""COMPUTED_VALUE"""),450)</f>
        <v>450</v>
      </c>
    </row>
    <row r="170" spans="1:7" x14ac:dyDescent="0.2">
      <c r="A170" s="51" t="str">
        <f ca="1">IFERROR(__xludf.DUMMYFUNCTION("""COMPUTED_VALUE"""),"zx - Felco #2 Pruners")</f>
        <v>zx - Felco #2 Pruners</v>
      </c>
      <c r="B170" s="51"/>
      <c r="C170" s="51"/>
      <c r="D170" s="51" t="str">
        <f ca="1">IFERROR(__xludf.DUMMYFUNCTION("""COMPUTED_VALUE"""),"0-0""")</f>
        <v>0-0"</v>
      </c>
      <c r="E170" s="51" t="str">
        <f ca="1">IFERROR(__xludf.DUMMYFUNCTION("""COMPUTED_VALUE"""),"0-0'")</f>
        <v>0-0'</v>
      </c>
      <c r="F170" s="64">
        <f ca="1">IFERROR(__xludf.DUMMYFUNCTION("""COMPUTED_VALUE"""),49)</f>
        <v>49</v>
      </c>
      <c r="G170" s="65">
        <f ca="1">IFERROR(__xludf.DUMMYFUNCTION("""COMPUTED_VALUE"""),65)</f>
        <v>65</v>
      </c>
    </row>
    <row r="171" spans="1:7" x14ac:dyDescent="0.2">
      <c r="A171" s="51" t="str">
        <f ca="1">IFERROR(__xludf.DUMMYFUNCTION("""COMPUTED_VALUE"""),"zx - Tree Diaper (for #10-#25)")</f>
        <v>zx - Tree Diaper (for #10-#25)</v>
      </c>
      <c r="B171" s="51" t="str">
        <f ca="1">IFERROR(__xludf.DUMMYFUNCTION("""COMPUTED_VALUE"""),"")</f>
        <v/>
      </c>
      <c r="C171" s="51"/>
      <c r="D171" s="51" t="str">
        <f ca="1">IFERROR(__xludf.DUMMYFUNCTION("""COMPUTED_VALUE"""),"0-0""")</f>
        <v>0-0"</v>
      </c>
      <c r="E171" s="51" t="str">
        <f ca="1">IFERROR(__xludf.DUMMYFUNCTION("""COMPUTED_VALUE"""),"0-0'")</f>
        <v>0-0'</v>
      </c>
      <c r="F171" s="64">
        <f ca="1">IFERROR(__xludf.DUMMYFUNCTION("""COMPUTED_VALUE"""),91)</f>
        <v>91</v>
      </c>
      <c r="G171" s="65">
        <f ca="1">IFERROR(__xludf.DUMMYFUNCTION("""COMPUTED_VALUE"""),40)</f>
        <v>40</v>
      </c>
    </row>
    <row r="172" spans="1:7" x14ac:dyDescent="0.2">
      <c r="A172" s="51" t="str">
        <f ca="1">IFERROR(__xludf.DUMMYFUNCTION("""COMPUTED_VALUE"""),"zx -Cages")</f>
        <v>zx -Cages</v>
      </c>
      <c r="B172" s="51"/>
      <c r="C172" s="51"/>
      <c r="D172" s="51" t="str">
        <f ca="1">IFERROR(__xludf.DUMMYFUNCTION("""COMPUTED_VALUE"""),"0-0""")</f>
        <v>0-0"</v>
      </c>
      <c r="E172" s="51" t="str">
        <f ca="1">IFERROR(__xludf.DUMMYFUNCTION("""COMPUTED_VALUE"""),"0-0'")</f>
        <v>0-0'</v>
      </c>
      <c r="F172" s="64">
        <f ca="1">IFERROR(__xludf.DUMMYFUNCTION("""COMPUTED_VALUE"""),934)</f>
        <v>934</v>
      </c>
      <c r="G172" s="65">
        <f ca="1">IFERROR(__xludf.DUMMYFUNCTION("""COMPUTED_VALUE"""),45)</f>
        <v>45</v>
      </c>
    </row>
    <row r="173" spans="1:7" x14ac:dyDescent="0.2">
      <c r="A173" s="51" t="str">
        <f ca="1">IFERROR(__xludf.DUMMYFUNCTION("""COMPUTED_VALUE"""),"zx -Shade Tarp")</f>
        <v>zx -Shade Tarp</v>
      </c>
      <c r="B173" s="51"/>
      <c r="C173" s="51"/>
      <c r="D173" s="51" t="str">
        <f ca="1">IFERROR(__xludf.DUMMYFUNCTION("""COMPUTED_VALUE"""),"0-0""")</f>
        <v>0-0"</v>
      </c>
      <c r="E173" s="51" t="str">
        <f ca="1">IFERROR(__xludf.DUMMYFUNCTION("""COMPUTED_VALUE"""),"0-0'")</f>
        <v>0-0'</v>
      </c>
      <c r="F173" s="64">
        <f ca="1">IFERROR(__xludf.DUMMYFUNCTION("""COMPUTED_VALUE"""),49)</f>
        <v>49</v>
      </c>
      <c r="G173" s="65">
        <f ca="1">IFERROR(__xludf.DUMMYFUNCTION("""COMPUTED_VALUE"""),30)</f>
        <v>30</v>
      </c>
    </row>
    <row r="174" spans="1:7" x14ac:dyDescent="0.2">
      <c r="A174" s="51"/>
      <c r="B174" s="51"/>
      <c r="C174" s="51"/>
      <c r="D174" s="51"/>
      <c r="E174" s="51"/>
      <c r="F174" s="51"/>
      <c r="G174" s="51"/>
    </row>
    <row r="175" spans="1:7" x14ac:dyDescent="0.2">
      <c r="A175" s="51"/>
      <c r="B175" s="51"/>
      <c r="C175" s="51"/>
      <c r="D175" s="51"/>
      <c r="E175" s="51"/>
      <c r="F175" s="51"/>
      <c r="G175" s="51"/>
    </row>
    <row r="176" spans="1:7" x14ac:dyDescent="0.2">
      <c r="A176" s="51"/>
      <c r="B176" s="51"/>
      <c r="C176" s="51"/>
      <c r="D176" s="51"/>
      <c r="E176" s="51"/>
      <c r="F176" s="51"/>
      <c r="G176" s="51"/>
    </row>
    <row r="177" spans="1:7" x14ac:dyDescent="0.2">
      <c r="A177" s="51"/>
      <c r="B177" s="51"/>
      <c r="C177" s="51"/>
      <c r="D177" s="51"/>
      <c r="E177" s="51"/>
      <c r="F177" s="51"/>
      <c r="G177" s="51"/>
    </row>
    <row r="178" spans="1:7" x14ac:dyDescent="0.2">
      <c r="A178" s="51"/>
      <c r="B178" s="51"/>
      <c r="C178" s="51"/>
      <c r="D178" s="51"/>
      <c r="E178" s="51"/>
      <c r="F178" s="51"/>
      <c r="G178" s="51"/>
    </row>
    <row r="179" spans="1:7" x14ac:dyDescent="0.2">
      <c r="A179" s="51"/>
      <c r="B179" s="51"/>
      <c r="C179" s="51"/>
      <c r="D179" s="51"/>
      <c r="E179" s="51"/>
      <c r="F179" s="51"/>
      <c r="G179" s="51"/>
    </row>
    <row r="180" spans="1:7" x14ac:dyDescent="0.2">
      <c r="A180" s="51"/>
      <c r="B180" s="51"/>
      <c r="C180" s="51"/>
      <c r="D180" s="51"/>
      <c r="E180" s="51"/>
      <c r="F180" s="51"/>
      <c r="G180" s="51"/>
    </row>
    <row r="181" spans="1:7" x14ac:dyDescent="0.2">
      <c r="A181" s="51"/>
      <c r="B181" s="51"/>
      <c r="C181" s="51"/>
      <c r="D181" s="51"/>
      <c r="E181" s="51"/>
      <c r="F181" s="51"/>
      <c r="G181" s="51"/>
    </row>
    <row r="182" spans="1:7" x14ac:dyDescent="0.2">
      <c r="A182" s="51"/>
      <c r="B182" s="51"/>
      <c r="C182" s="51"/>
      <c r="D182" s="51"/>
      <c r="E182" s="51"/>
      <c r="F182" s="51"/>
      <c r="G182" s="51"/>
    </row>
    <row r="183" spans="1:7" x14ac:dyDescent="0.2">
      <c r="A183" s="51"/>
      <c r="B183" s="51"/>
      <c r="C183" s="51"/>
      <c r="D183" s="51"/>
      <c r="E183" s="51"/>
      <c r="F183" s="51"/>
      <c r="G183" s="51"/>
    </row>
    <row r="184" spans="1:7" x14ac:dyDescent="0.2">
      <c r="A184" s="51"/>
      <c r="B184" s="51"/>
      <c r="C184" s="51"/>
      <c r="D184" s="51"/>
      <c r="E184" s="51"/>
      <c r="F184" s="51"/>
      <c r="G184" s="51"/>
    </row>
    <row r="185" spans="1:7" x14ac:dyDescent="0.2">
      <c r="A185" s="51"/>
      <c r="B185" s="51"/>
      <c r="C185" s="51"/>
      <c r="D185" s="51"/>
      <c r="E185" s="51"/>
      <c r="F185" s="51"/>
      <c r="G185" s="51"/>
    </row>
    <row r="186" spans="1:7" x14ac:dyDescent="0.2">
      <c r="A186" s="51"/>
      <c r="B186" s="51"/>
      <c r="C186" s="51"/>
      <c r="D186" s="51"/>
      <c r="E186" s="51"/>
      <c r="F186" s="51"/>
      <c r="G186" s="51"/>
    </row>
    <row r="187" spans="1:7" x14ac:dyDescent="0.2">
      <c r="A187" s="51"/>
      <c r="B187" s="51"/>
      <c r="C187" s="51"/>
      <c r="D187" s="51"/>
      <c r="E187" s="51"/>
      <c r="F187" s="51"/>
      <c r="G187" s="51"/>
    </row>
    <row r="188" spans="1:7" x14ac:dyDescent="0.2">
      <c r="A188" s="51"/>
      <c r="B188" s="51"/>
      <c r="C188" s="51"/>
      <c r="D188" s="51"/>
      <c r="E188" s="51"/>
      <c r="F188" s="51"/>
      <c r="G188" s="51"/>
    </row>
    <row r="189" spans="1:7" x14ac:dyDescent="0.2">
      <c r="A189" s="51"/>
      <c r="B189" s="51"/>
      <c r="C189" s="51"/>
      <c r="D189" s="51"/>
      <c r="E189" s="51"/>
      <c r="F189" s="51"/>
      <c r="G189" s="5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  <pageSetUpPr fitToPage="1"/>
  </sheetPr>
  <dimension ref="A1:K473"/>
  <sheetViews>
    <sheetView workbookViewId="0"/>
  </sheetViews>
  <sheetFormatPr defaultColWidth="12.5703125" defaultRowHeight="15.75" customHeight="1" x14ac:dyDescent="0.2"/>
  <cols>
    <col min="1" max="1" width="34.140625" customWidth="1"/>
    <col min="2" max="2" width="24.85546875" customWidth="1"/>
    <col min="3" max="3" width="18" customWidth="1"/>
    <col min="4" max="4" width="15" customWidth="1"/>
    <col min="5" max="5" width="13.28515625" customWidth="1"/>
    <col min="6" max="6" width="16" customWidth="1"/>
    <col min="7" max="7" width="22" customWidth="1"/>
    <col min="8" max="8" width="12.5703125" hidden="1"/>
    <col min="9" max="9" width="23.855468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24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25</v>
      </c>
      <c r="B3" s="80"/>
      <c r="C3" s="80"/>
      <c r="D3" s="80"/>
      <c r="E3" s="9"/>
      <c r="F3" s="10" t="s">
        <v>26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27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45" x14ac:dyDescent="0.6">
      <c r="A6" s="40" t="s">
        <v>15</v>
      </c>
      <c r="B6" s="41"/>
      <c r="C6" s="42"/>
      <c r="D6" s="43"/>
      <c r="E6" s="44" t="s">
        <v>16</v>
      </c>
      <c r="F6" s="45"/>
      <c r="G6" s="66"/>
      <c r="H6" s="15"/>
      <c r="I6" s="46"/>
      <c r="J6" s="16"/>
      <c r="K6" s="16"/>
    </row>
    <row r="7" spans="1:11" ht="12.75" x14ac:dyDescent="0.2">
      <c r="B7" s="47" t="str">
        <f ca="1">'Fruit Trees'!A1</f>
        <v>Common Name</v>
      </c>
      <c r="C7" s="48" t="str">
        <f ca="1">'Fruit Trees'!C1</f>
        <v>Pot Size</v>
      </c>
      <c r="D7" s="48" t="str">
        <f ca="1">'Fruit Trees'!D1</f>
        <v xml:space="preserve">Caliper </v>
      </c>
      <c r="E7" s="48" t="str">
        <f ca="1">'Fruit Trees'!E1</f>
        <v xml:space="preserve">Height </v>
      </c>
      <c r="F7" s="48" t="str">
        <f ca="1">'Fruit Trees'!F1</f>
        <v>Quantity</v>
      </c>
      <c r="G7" s="67" t="s">
        <v>17</v>
      </c>
      <c r="H7" s="47"/>
      <c r="I7" s="49" t="s">
        <v>18</v>
      </c>
      <c r="J7" s="50" t="s">
        <v>19</v>
      </c>
      <c r="K7" s="50"/>
    </row>
    <row r="8" spans="1:11" ht="12.75" x14ac:dyDescent="0.2">
      <c r="B8" s="51" t="str">
        <f ca="1">'Fruit Trees'!A2</f>
        <v>Almond - Hall's Hardy</v>
      </c>
      <c r="C8" s="42" t="str">
        <f ca="1">'Fruit Trees'!C2</f>
        <v>#7</v>
      </c>
      <c r="D8" s="42" t="str">
        <f ca="1">'Fruit Trees'!D2</f>
        <v>0.75-1.75"</v>
      </c>
      <c r="E8" s="42" t="str">
        <f ca="1">'Fruit Trees'!E2</f>
        <v>5-9'</v>
      </c>
      <c r="F8" s="52">
        <f ca="1">'Fruit Trees'!F2</f>
        <v>22</v>
      </c>
      <c r="G8" s="68">
        <f ca="1">'Fruit Trees'!G2*0.9</f>
        <v>72</v>
      </c>
      <c r="H8" s="51" t="str">
        <f t="shared" ref="H8:H262" ca="1" si="0">B8&amp;" "&amp;C8&amp;-2021</f>
        <v>Almond - Hall's Hardy #7-2021</v>
      </c>
      <c r="I8" s="54"/>
      <c r="J8" s="55">
        <f t="shared" ref="J8:J176" ca="1" si="1">G8*I8</f>
        <v>0</v>
      </c>
      <c r="K8" s="55"/>
    </row>
    <row r="9" spans="1:11" ht="12.75" x14ac:dyDescent="0.2">
      <c r="B9" s="51" t="str">
        <f ca="1">'Fruit Trees'!A3</f>
        <v>Almond - Hall's Hardy</v>
      </c>
      <c r="C9" s="42" t="str">
        <f ca="1">'Fruit Trees'!C3</f>
        <v>#10</v>
      </c>
      <c r="D9" s="42" t="str">
        <f ca="1">'Fruit Trees'!D3</f>
        <v>1.5-1.5"</v>
      </c>
      <c r="E9" s="42" t="str">
        <f ca="1">'Fruit Trees'!E3</f>
        <v>8-9'</v>
      </c>
      <c r="F9" s="52">
        <f ca="1">'Fruit Trees'!F3</f>
        <v>3</v>
      </c>
      <c r="G9" s="68">
        <f ca="1">'Fruit Trees'!G3*0.9</f>
        <v>90</v>
      </c>
      <c r="H9" s="51" t="str">
        <f t="shared" ca="1" si="0"/>
        <v>Almond - Hall's Hardy #10-2021</v>
      </c>
      <c r="I9" s="54"/>
      <c r="J9" s="55">
        <f t="shared" ca="1" si="1"/>
        <v>0</v>
      </c>
      <c r="K9" s="55"/>
    </row>
    <row r="10" spans="1:11" ht="12.75" x14ac:dyDescent="0.2">
      <c r="B10" s="51" t="str">
        <f ca="1">'Fruit Trees'!A4</f>
        <v>Apple - 3in1 3-Tier Espalier (Honeycrisp-Akane-Liberty)</v>
      </c>
      <c r="C10" s="42" t="str">
        <f ca="1">'Fruit Trees'!C4</f>
        <v>#10</v>
      </c>
      <c r="D10" s="42" t="str">
        <f ca="1">'Fruit Trees'!D4</f>
        <v>0.75-1"</v>
      </c>
      <c r="E10" s="42" t="str">
        <f ca="1">'Fruit Trees'!E4</f>
        <v>5-6'</v>
      </c>
      <c r="F10" s="52">
        <f ca="1">'Fruit Trees'!F4</f>
        <v>19</v>
      </c>
      <c r="G10" s="68">
        <f ca="1">'Fruit Trees'!G4*0.9</f>
        <v>162</v>
      </c>
      <c r="H10" s="51" t="str">
        <f t="shared" ca="1" si="0"/>
        <v>Apple - 3in1 3-Tier Espalier (Honeycrisp-Akane-Liberty) #10-2021</v>
      </c>
      <c r="I10" s="54"/>
      <c r="J10" s="55">
        <f t="shared" ca="1" si="1"/>
        <v>0</v>
      </c>
      <c r="K10" s="55"/>
    </row>
    <row r="11" spans="1:11" ht="12.75" x14ac:dyDescent="0.2">
      <c r="B11" s="51" t="str">
        <f ca="1">'Fruit Trees'!A5</f>
        <v>Apple - 6in1 3-Tier Espalier (Fuji-Gala-Liberty-Honeycrisp-Granny Smith-Yellow Delicious)</v>
      </c>
      <c r="C11" s="42" t="str">
        <f ca="1">'Fruit Trees'!C5</f>
        <v>#10</v>
      </c>
      <c r="D11" s="42" t="str">
        <f ca="1">'Fruit Trees'!D5</f>
        <v>0.75-1"</v>
      </c>
      <c r="E11" s="42" t="str">
        <f ca="1">'Fruit Trees'!E5</f>
        <v>4.5-5'</v>
      </c>
      <c r="F11" s="52">
        <f ca="1">'Fruit Trees'!F5</f>
        <v>11</v>
      </c>
      <c r="G11" s="68">
        <f ca="1">'Fruit Trees'!G5*0.9</f>
        <v>162</v>
      </c>
      <c r="H11" s="51" t="str">
        <f t="shared" ca="1" si="0"/>
        <v>Apple - 6in1 3-Tier Espalier (Fuji-Gala-Liberty-Honeycrisp-Granny Smith-Yellow Delicious) #10-2021</v>
      </c>
      <c r="I11" s="54"/>
      <c r="J11" s="55">
        <f t="shared" ca="1" si="1"/>
        <v>0</v>
      </c>
      <c r="K11" s="55"/>
    </row>
    <row r="12" spans="1:11" ht="12.75" x14ac:dyDescent="0.2">
      <c r="B12" s="51" t="str">
        <f ca="1">'Fruit Trees'!A6</f>
        <v>Apple - Ambrosia</v>
      </c>
      <c r="C12" s="42" t="str">
        <f ca="1">'Fruit Trees'!C6</f>
        <v>#5</v>
      </c>
      <c r="D12" s="42" t="str">
        <f ca="1">'Fruit Trees'!D6</f>
        <v>1-1.5"</v>
      </c>
      <c r="E12" s="42" t="str">
        <f ca="1">'Fruit Trees'!E6</f>
        <v>7-10'</v>
      </c>
      <c r="F12" s="52">
        <f ca="1">'Fruit Trees'!F6</f>
        <v>138</v>
      </c>
      <c r="G12" s="68">
        <f ca="1">'Fruit Trees'!G6*0.9</f>
        <v>49.5</v>
      </c>
      <c r="H12" s="51" t="str">
        <f t="shared" ca="1" si="0"/>
        <v>Apple - Ambrosia #5-2021</v>
      </c>
      <c r="I12" s="54"/>
      <c r="J12" s="55">
        <f t="shared" ca="1" si="1"/>
        <v>0</v>
      </c>
      <c r="K12" s="55"/>
    </row>
    <row r="13" spans="1:11" ht="12.75" x14ac:dyDescent="0.2">
      <c r="B13" s="51" t="str">
        <f ca="1">'Fruit Trees'!A7</f>
        <v>Apple - Arkansas Black</v>
      </c>
      <c r="C13" s="42" t="str">
        <f ca="1">'Fruit Trees'!C7</f>
        <v>#5</v>
      </c>
      <c r="D13" s="42" t="str">
        <f ca="1">'Fruit Trees'!D7</f>
        <v>0.75-1.25"</v>
      </c>
      <c r="E13" s="42" t="str">
        <f ca="1">'Fruit Trees'!E7</f>
        <v>4-10'</v>
      </c>
      <c r="F13" s="52">
        <f ca="1">'Fruit Trees'!F7</f>
        <v>151</v>
      </c>
      <c r="G13" s="68">
        <f ca="1">'Fruit Trees'!G7*0.9</f>
        <v>49.5</v>
      </c>
      <c r="H13" s="51" t="str">
        <f t="shared" ca="1" si="0"/>
        <v>Apple - Arkansas Black #5-2021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Trees'!A8</f>
        <v>Apple - Arkansas Black</v>
      </c>
      <c r="C14" s="42" t="str">
        <f ca="1">'Fruit Trees'!C8</f>
        <v>#10</v>
      </c>
      <c r="D14" s="42" t="str">
        <f ca="1">'Fruit Trees'!D8</f>
        <v>1-1"</v>
      </c>
      <c r="E14" s="42" t="str">
        <f ca="1">'Fruit Trees'!E8</f>
        <v>6-8'</v>
      </c>
      <c r="F14" s="52">
        <f ca="1">'Fruit Trees'!F8</f>
        <v>14</v>
      </c>
      <c r="G14" s="68">
        <f ca="1">'Fruit Trees'!G8*0.9</f>
        <v>90</v>
      </c>
      <c r="H14" s="51" t="str">
        <f t="shared" ca="1" si="0"/>
        <v>Apple - Arkansas Black #10-2021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Trees'!A9</f>
        <v>Apple - Baldwin</v>
      </c>
      <c r="C15" s="42" t="str">
        <f ca="1">'Fruit Trees'!C9</f>
        <v>#5</v>
      </c>
      <c r="D15" s="42" t="str">
        <f ca="1">'Fruit Trees'!D9</f>
        <v>0.75-1.25"</v>
      </c>
      <c r="E15" s="42" t="str">
        <f ca="1">'Fruit Trees'!E9</f>
        <v>8-12'</v>
      </c>
      <c r="F15" s="52">
        <f ca="1">'Fruit Trees'!F9</f>
        <v>70</v>
      </c>
      <c r="G15" s="68">
        <f ca="1">'Fruit Trees'!G9*0.9</f>
        <v>49.5</v>
      </c>
      <c r="H15" s="51" t="str">
        <f t="shared" ca="1" si="0"/>
        <v>Apple - Baldwin #5-2021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Trees'!A10</f>
        <v>Apple - Cortland</v>
      </c>
      <c r="C16" s="42" t="str">
        <f ca="1">'Fruit Trees'!C10</f>
        <v>#5</v>
      </c>
      <c r="D16" s="42" t="str">
        <f ca="1">'Fruit Trees'!D10</f>
        <v>0.5-1"</v>
      </c>
      <c r="E16" s="42" t="str">
        <f ca="1">'Fruit Trees'!E10</f>
        <v>5-7'</v>
      </c>
      <c r="F16" s="52">
        <f ca="1">'Fruit Trees'!F10</f>
        <v>53</v>
      </c>
      <c r="G16" s="68">
        <f ca="1">'Fruit Trees'!G10*0.9</f>
        <v>49.5</v>
      </c>
      <c r="H16" s="51" t="str">
        <f t="shared" ca="1" si="0"/>
        <v>Apple - Cortland #5-2021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Trees'!A11</f>
        <v>Apple - Crimson Crisp</v>
      </c>
      <c r="C17" s="42" t="str">
        <f ca="1">'Fruit Trees'!C11</f>
        <v>#5</v>
      </c>
      <c r="D17" s="42" t="str">
        <f ca="1">'Fruit Trees'!D11</f>
        <v>0.75-1"</v>
      </c>
      <c r="E17" s="42" t="str">
        <f ca="1">'Fruit Trees'!E11</f>
        <v>4-9'</v>
      </c>
      <c r="F17" s="52">
        <f ca="1">'Fruit Trees'!F11</f>
        <v>46</v>
      </c>
      <c r="G17" s="68">
        <f ca="1">'Fruit Trees'!G11*0.9</f>
        <v>49.5</v>
      </c>
      <c r="H17" s="51" t="str">
        <f t="shared" ca="1" si="0"/>
        <v>Apple - Crimson Crisp #5-2021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Trees'!A12</f>
        <v>Apple - Crown Empire</v>
      </c>
      <c r="C18" s="42" t="str">
        <f ca="1">'Fruit Trees'!C12</f>
        <v>#5</v>
      </c>
      <c r="D18" s="42" t="str">
        <f ca="1">'Fruit Trees'!D12</f>
        <v>0.5-1.25"</v>
      </c>
      <c r="E18" s="42" t="str">
        <f ca="1">'Fruit Trees'!E12</f>
        <v>3-9'</v>
      </c>
      <c r="F18" s="52">
        <f ca="1">'Fruit Trees'!F12</f>
        <v>10</v>
      </c>
      <c r="G18" s="68">
        <f ca="1">'Fruit Trees'!G12*0.9</f>
        <v>49.5</v>
      </c>
      <c r="H18" s="51" t="str">
        <f t="shared" ca="1" si="0"/>
        <v>Apple - Crown Empire #5-2021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Trees'!A13</f>
        <v>Apple - Enterprise</v>
      </c>
      <c r="C19" s="42" t="str">
        <f ca="1">'Fruit Trees'!C13</f>
        <v>#5</v>
      </c>
      <c r="D19" s="42" t="str">
        <f ca="1">'Fruit Trees'!D13</f>
        <v>0.5-1.25"</v>
      </c>
      <c r="E19" s="42" t="str">
        <f ca="1">'Fruit Trees'!E13</f>
        <v>5-8'</v>
      </c>
      <c r="F19" s="52">
        <f ca="1">'Fruit Trees'!F13</f>
        <v>341</v>
      </c>
      <c r="G19" s="68">
        <f ca="1">'Fruit Trees'!G13*0.9</f>
        <v>49.5</v>
      </c>
      <c r="H19" s="51" t="str">
        <f t="shared" ca="1" si="0"/>
        <v>Apple - Enterprise #5-2021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Trees'!A14</f>
        <v>Apple - Enterprise</v>
      </c>
      <c r="C20" s="42" t="str">
        <f ca="1">'Fruit Trees'!C14</f>
        <v>#10</v>
      </c>
      <c r="D20" s="42" t="str">
        <f ca="1">'Fruit Trees'!D14</f>
        <v>0.75-1.5"</v>
      </c>
      <c r="E20" s="42" t="str">
        <f ca="1">'Fruit Trees'!E14</f>
        <v>6-10'</v>
      </c>
      <c r="F20" s="52">
        <f ca="1">'Fruit Trees'!F14</f>
        <v>21</v>
      </c>
      <c r="G20" s="68">
        <f ca="1">'Fruit Trees'!G14*0.9</f>
        <v>90</v>
      </c>
      <c r="H20" s="51" t="str">
        <f t="shared" ca="1" si="0"/>
        <v>Apple - Enterprise #10-2021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Trees'!A15</f>
        <v>Apple - Enterprise</v>
      </c>
      <c r="C21" s="42" t="str">
        <f ca="1">'Fruit Trees'!C15</f>
        <v>#15</v>
      </c>
      <c r="D21" s="42" t="str">
        <f ca="1">'Fruit Trees'!D15</f>
        <v>1.25-1.5"</v>
      </c>
      <c r="E21" s="42" t="str">
        <f ca="1">'Fruit Trees'!E15</f>
        <v>8-9'</v>
      </c>
      <c r="F21" s="52">
        <f ca="1">'Fruit Trees'!F15</f>
        <v>17</v>
      </c>
      <c r="G21" s="68">
        <f ca="1">'Fruit Trees'!G15*0.9</f>
        <v>135</v>
      </c>
      <c r="H21" s="51" t="str">
        <f t="shared" ca="1" si="0"/>
        <v>Apple - Enterprise #15-2021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Trees'!A16</f>
        <v>Apple - Freedom</v>
      </c>
      <c r="C22" s="42" t="str">
        <f ca="1">'Fruit Trees'!C16</f>
        <v>#5</v>
      </c>
      <c r="D22" s="42" t="str">
        <f ca="1">'Fruit Trees'!D16</f>
        <v>0.5-1.25"</v>
      </c>
      <c r="E22" s="42" t="str">
        <f ca="1">'Fruit Trees'!E16</f>
        <v>6-9'</v>
      </c>
      <c r="F22" s="52">
        <f ca="1">'Fruit Trees'!F16</f>
        <v>120</v>
      </c>
      <c r="G22" s="68">
        <f ca="1">'Fruit Trees'!G16*0.9</f>
        <v>49.5</v>
      </c>
      <c r="H22" s="51" t="str">
        <f t="shared" ca="1" si="0"/>
        <v>Apple - Freedom #5-2021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Trees'!A17</f>
        <v>Apple - Fuji</v>
      </c>
      <c r="C23" s="42" t="str">
        <f ca="1">'Fruit Trees'!C17</f>
        <v>#5</v>
      </c>
      <c r="D23" s="42" t="str">
        <f ca="1">'Fruit Trees'!D17</f>
        <v>0.75-1.25"</v>
      </c>
      <c r="E23" s="42" t="str">
        <f ca="1">'Fruit Trees'!E17</f>
        <v>4-11'</v>
      </c>
      <c r="F23" s="52">
        <f ca="1">'Fruit Trees'!F17</f>
        <v>130</v>
      </c>
      <c r="G23" s="68">
        <f ca="1">'Fruit Trees'!G17*0.9</f>
        <v>49.5</v>
      </c>
      <c r="H23" s="51" t="str">
        <f t="shared" ca="1" si="0"/>
        <v>Apple - Fuji #5-2021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Trees'!A18</f>
        <v>Apple - Fuji</v>
      </c>
      <c r="C24" s="42" t="str">
        <f ca="1">'Fruit Trees'!C18</f>
        <v>#10</v>
      </c>
      <c r="D24" s="42" t="str">
        <f ca="1">'Fruit Trees'!D18</f>
        <v>1-1.25"</v>
      </c>
      <c r="E24" s="42" t="str">
        <f ca="1">'Fruit Trees'!E18</f>
        <v>6-7.5'</v>
      </c>
      <c r="F24" s="52">
        <f ca="1">'Fruit Trees'!F18</f>
        <v>12</v>
      </c>
      <c r="G24" s="68">
        <f ca="1">'Fruit Trees'!G18*0.9</f>
        <v>90</v>
      </c>
      <c r="H24" s="51" t="str">
        <f t="shared" ca="1" si="0"/>
        <v>Apple - Fuji #10-2021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Trees'!A19</f>
        <v>Apple - Fuji</v>
      </c>
      <c r="C25" s="42" t="str">
        <f ca="1">'Fruit Trees'!C19</f>
        <v>#15</v>
      </c>
      <c r="D25" s="42" t="str">
        <f ca="1">'Fruit Trees'!D19</f>
        <v>1.25-1.5"</v>
      </c>
      <c r="E25" s="42" t="str">
        <f ca="1">'Fruit Trees'!E19</f>
        <v>8-9'</v>
      </c>
      <c r="F25" s="52">
        <f ca="1">'Fruit Trees'!F19</f>
        <v>7</v>
      </c>
      <c r="G25" s="68">
        <f ca="1">'Fruit Trees'!G19*0.9</f>
        <v>135</v>
      </c>
      <c r="H25" s="51" t="str">
        <f t="shared" ca="1" si="0"/>
        <v>Apple - Fuji #15-2021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Trees'!A20</f>
        <v>Apple - Gala</v>
      </c>
      <c r="C26" s="42" t="str">
        <f ca="1">'Fruit Trees'!C20</f>
        <v>#5</v>
      </c>
      <c r="D26" s="42" t="str">
        <f ca="1">'Fruit Trees'!D20</f>
        <v>0.75-1.25"</v>
      </c>
      <c r="E26" s="42" t="str">
        <f ca="1">'Fruit Trees'!E20</f>
        <v>5-8'</v>
      </c>
      <c r="F26" s="52">
        <f ca="1">'Fruit Trees'!F20</f>
        <v>132</v>
      </c>
      <c r="G26" s="68">
        <f ca="1">'Fruit Trees'!G20*0.9</f>
        <v>49.5</v>
      </c>
      <c r="H26" s="51" t="str">
        <f t="shared" ca="1" si="0"/>
        <v>Apple - Gala #5-2021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Trees'!A21</f>
        <v>Apple - Gala</v>
      </c>
      <c r="C27" s="42" t="str">
        <f ca="1">'Fruit Trees'!C21</f>
        <v>#10</v>
      </c>
      <c r="D27" s="42" t="str">
        <f ca="1">'Fruit Trees'!D21</f>
        <v>0.75-1"</v>
      </c>
      <c r="E27" s="42" t="str">
        <f ca="1">'Fruit Trees'!E21</f>
        <v>6-8'</v>
      </c>
      <c r="F27" s="52">
        <f ca="1">'Fruit Trees'!F21</f>
        <v>3</v>
      </c>
      <c r="G27" s="68">
        <f ca="1">'Fruit Trees'!G21*0.9</f>
        <v>90</v>
      </c>
      <c r="H27" s="51" t="str">
        <f t="shared" ca="1" si="0"/>
        <v>Apple - Gala #10-2021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Trees'!A22</f>
        <v>Apple - Gala</v>
      </c>
      <c r="C28" s="42" t="str">
        <f ca="1">'Fruit Trees'!C22</f>
        <v>#15</v>
      </c>
      <c r="D28" s="42" t="str">
        <f ca="1">'Fruit Trees'!D22</f>
        <v>1.25-1.5"</v>
      </c>
      <c r="E28" s="42" t="str">
        <f ca="1">'Fruit Trees'!E22</f>
        <v>9-10'</v>
      </c>
      <c r="F28" s="52">
        <f ca="1">'Fruit Trees'!F22</f>
        <v>10</v>
      </c>
      <c r="G28" s="68">
        <f ca="1">'Fruit Trees'!G22*0.9</f>
        <v>135</v>
      </c>
      <c r="H28" s="51" t="str">
        <f t="shared" ca="1" si="0"/>
        <v>Apple - Gala #15-2021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Trees'!A23</f>
        <v>Apple - Galarina</v>
      </c>
      <c r="C29" s="42" t="str">
        <f ca="1">'Fruit Trees'!C23</f>
        <v>#5</v>
      </c>
      <c r="D29" s="42" t="str">
        <f ca="1">'Fruit Trees'!D23</f>
        <v>1-1.25"</v>
      </c>
      <c r="E29" s="42" t="str">
        <f ca="1">'Fruit Trees'!E23</f>
        <v>8.5-12'</v>
      </c>
      <c r="F29" s="52">
        <f ca="1">'Fruit Trees'!F23</f>
        <v>84</v>
      </c>
      <c r="G29" s="68">
        <f ca="1">'Fruit Trees'!G23*0.9</f>
        <v>49.5</v>
      </c>
      <c r="H29" s="51" t="str">
        <f t="shared" ca="1" si="0"/>
        <v>Apple - Galarina #5-2021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Trees'!A24</f>
        <v>Apple - Gold Rush</v>
      </c>
      <c r="C30" s="42" t="str">
        <f ca="1">'Fruit Trees'!C24</f>
        <v>#5</v>
      </c>
      <c r="D30" s="42" t="str">
        <f ca="1">'Fruit Trees'!D24</f>
        <v>0.75-1"</v>
      </c>
      <c r="E30" s="42" t="str">
        <f ca="1">'Fruit Trees'!E24</f>
        <v>7.5-8.5'</v>
      </c>
      <c r="F30" s="52">
        <f ca="1">'Fruit Trees'!F24</f>
        <v>52</v>
      </c>
      <c r="G30" s="68">
        <f ca="1">'Fruit Trees'!G24*0.9</f>
        <v>49.5</v>
      </c>
      <c r="H30" s="51" t="str">
        <f t="shared" ca="1" si="0"/>
        <v>Apple - Gold Rush #5-2021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Trees'!A25</f>
        <v>Apple - Granny Smith</v>
      </c>
      <c r="C31" s="42" t="str">
        <f ca="1">'Fruit Trees'!C25</f>
        <v>#5</v>
      </c>
      <c r="D31" s="42" t="str">
        <f ca="1">'Fruit Trees'!D25</f>
        <v>0.5-1.25"</v>
      </c>
      <c r="E31" s="42" t="str">
        <f ca="1">'Fruit Trees'!E25</f>
        <v>6-10'</v>
      </c>
      <c r="F31" s="52">
        <f ca="1">'Fruit Trees'!F25</f>
        <v>60</v>
      </c>
      <c r="G31" s="68">
        <f ca="1">'Fruit Trees'!G25*0.9</f>
        <v>49.5</v>
      </c>
      <c r="H31" s="51" t="str">
        <f t="shared" ca="1" si="0"/>
        <v>Apple - Granny Smith #5-2021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Trees'!A26</f>
        <v>Apple - Granny Smith</v>
      </c>
      <c r="C32" s="42" t="str">
        <f ca="1">'Fruit Trees'!C26</f>
        <v>#15</v>
      </c>
      <c r="D32" s="42" t="str">
        <f ca="1">'Fruit Trees'!D26</f>
        <v>1-1.25"</v>
      </c>
      <c r="E32" s="42" t="str">
        <f ca="1">'Fruit Trees'!E26</f>
        <v>9-11'</v>
      </c>
      <c r="F32" s="52">
        <f ca="1">'Fruit Trees'!F26</f>
        <v>7</v>
      </c>
      <c r="G32" s="68">
        <f ca="1">'Fruit Trees'!G26*0.9</f>
        <v>135</v>
      </c>
      <c r="H32" s="51" t="str">
        <f t="shared" ca="1" si="0"/>
        <v>Apple - Granny Smith #15-2021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Trees'!A27</f>
        <v>Apple - Honeycrisp</v>
      </c>
      <c r="C33" s="42" t="str">
        <f ca="1">'Fruit Trees'!C27</f>
        <v>#5</v>
      </c>
      <c r="D33" s="42" t="str">
        <f ca="1">'Fruit Trees'!D27</f>
        <v>0.5-1"</v>
      </c>
      <c r="E33" s="42" t="str">
        <f ca="1">'Fruit Trees'!E27</f>
        <v>6.5-9'</v>
      </c>
      <c r="F33" s="52">
        <f ca="1">'Fruit Trees'!F27</f>
        <v>15</v>
      </c>
      <c r="G33" s="68">
        <f ca="1">'Fruit Trees'!G27*0.9</f>
        <v>49.5</v>
      </c>
      <c r="H33" s="51" t="str">
        <f t="shared" ca="1" si="0"/>
        <v>Apple - Honeycrisp #5-2021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Trees'!A28</f>
        <v>Apple - Honeycrisp</v>
      </c>
      <c r="C34" s="42" t="str">
        <f ca="1">'Fruit Trees'!C28</f>
        <v>#10</v>
      </c>
      <c r="D34" s="42" t="str">
        <f ca="1">'Fruit Trees'!D28</f>
        <v>1-1.25"</v>
      </c>
      <c r="E34" s="42" t="str">
        <f ca="1">'Fruit Trees'!E28</f>
        <v>6-9'</v>
      </c>
      <c r="F34" s="52">
        <f ca="1">'Fruit Trees'!F28</f>
        <v>1</v>
      </c>
      <c r="G34" s="68">
        <f ca="1">'Fruit Trees'!G28*0.9</f>
        <v>90</v>
      </c>
      <c r="H34" s="51" t="str">
        <f t="shared" ca="1" si="0"/>
        <v>Apple - Honeycrisp #10-2021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Trees'!A29</f>
        <v>Apple - Initial</v>
      </c>
      <c r="C35" s="42" t="str">
        <f ca="1">'Fruit Trees'!C29</f>
        <v>#5</v>
      </c>
      <c r="D35" s="42" t="str">
        <f ca="1">'Fruit Trees'!D29</f>
        <v>0.75-1.5"</v>
      </c>
      <c r="E35" s="42" t="str">
        <f ca="1">'Fruit Trees'!E29</f>
        <v>6-10'</v>
      </c>
      <c r="F35" s="52">
        <f ca="1">'Fruit Trees'!F29</f>
        <v>86</v>
      </c>
      <c r="G35" s="68">
        <f ca="1">'Fruit Trees'!G29*0.9</f>
        <v>49.5</v>
      </c>
      <c r="H35" s="51" t="str">
        <f t="shared" ca="1" si="0"/>
        <v>Apple - Initial #5-2021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Trees'!A30</f>
        <v>Apple - Liberty</v>
      </c>
      <c r="C36" s="42" t="str">
        <f ca="1">'Fruit Trees'!C30</f>
        <v>#5</v>
      </c>
      <c r="D36" s="42" t="str">
        <f ca="1">'Fruit Trees'!D30</f>
        <v>0.5-1.75"</v>
      </c>
      <c r="E36" s="42" t="str">
        <f ca="1">'Fruit Trees'!E30</f>
        <v>7-9'</v>
      </c>
      <c r="F36" s="52">
        <f ca="1">'Fruit Trees'!F30</f>
        <v>165</v>
      </c>
      <c r="G36" s="68">
        <f ca="1">'Fruit Trees'!G30*0.9</f>
        <v>49.5</v>
      </c>
      <c r="H36" s="51" t="str">
        <f t="shared" ca="1" si="0"/>
        <v>Apple - Liberty #5-2021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Trees'!A31</f>
        <v>Apple - Macoun</v>
      </c>
      <c r="C37" s="42" t="str">
        <f ca="1">'Fruit Trees'!C31</f>
        <v>#5</v>
      </c>
      <c r="D37" s="42" t="str">
        <f ca="1">'Fruit Trees'!D31</f>
        <v>1-1.25"</v>
      </c>
      <c r="E37" s="42" t="str">
        <f ca="1">'Fruit Trees'!E31</f>
        <v>9-10'</v>
      </c>
      <c r="F37" s="52">
        <f ca="1">'Fruit Trees'!F31</f>
        <v>103</v>
      </c>
      <c r="G37" s="68">
        <f ca="1">'Fruit Trees'!G31*0.9</f>
        <v>49.5</v>
      </c>
      <c r="H37" s="51" t="str">
        <f t="shared" ca="1" si="0"/>
        <v>Apple - Macoun #5-2021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Trees'!A32</f>
        <v>Apple - McIntosh</v>
      </c>
      <c r="C38" s="42" t="str">
        <f ca="1">'Fruit Trees'!C32</f>
        <v>#5</v>
      </c>
      <c r="D38" s="42" t="str">
        <f ca="1">'Fruit Trees'!D32</f>
        <v>0.75-1.25"</v>
      </c>
      <c r="E38" s="42" t="str">
        <f ca="1">'Fruit Trees'!E32</f>
        <v>5-12'</v>
      </c>
      <c r="F38" s="52">
        <f ca="1">'Fruit Trees'!F32</f>
        <v>84</v>
      </c>
      <c r="G38" s="68">
        <f ca="1">'Fruit Trees'!G32*0.9</f>
        <v>49.5</v>
      </c>
      <c r="H38" s="51" t="str">
        <f t="shared" ca="1" si="0"/>
        <v>Apple - McIntosh #5-2021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Trees'!A33</f>
        <v>Apple - McIntosh</v>
      </c>
      <c r="C39" s="42" t="str">
        <f ca="1">'Fruit Trees'!C33</f>
        <v>#10</v>
      </c>
      <c r="D39" s="42" t="str">
        <f ca="1">'Fruit Trees'!D33</f>
        <v>0.75-1.25"</v>
      </c>
      <c r="E39" s="42" t="str">
        <f ca="1">'Fruit Trees'!E33</f>
        <v>5-11'</v>
      </c>
      <c r="F39" s="52">
        <f ca="1">'Fruit Trees'!F33</f>
        <v>12</v>
      </c>
      <c r="G39" s="68">
        <f ca="1">'Fruit Trees'!G33*0.9</f>
        <v>90</v>
      </c>
      <c r="H39" s="51" t="str">
        <f t="shared" ca="1" si="0"/>
        <v>Apple - McIntosh #10-2021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Trees'!A34</f>
        <v>Apple - McIntosh</v>
      </c>
      <c r="C40" s="42" t="str">
        <f ca="1">'Fruit Trees'!C34</f>
        <v>#15</v>
      </c>
      <c r="D40" s="42" t="str">
        <f ca="1">'Fruit Trees'!D34</f>
        <v>1.25-1.5"</v>
      </c>
      <c r="E40" s="42" t="str">
        <f ca="1">'Fruit Trees'!E34</f>
        <v>8-10'</v>
      </c>
      <c r="F40" s="52">
        <f ca="1">'Fruit Trees'!F34</f>
        <v>9</v>
      </c>
      <c r="G40" s="68">
        <f ca="1">'Fruit Trees'!G34*0.9</f>
        <v>135</v>
      </c>
      <c r="H40" s="51" t="str">
        <f t="shared" ca="1" si="0"/>
        <v>Apple - McIntosh #15-2021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Trees'!A35</f>
        <v>Apple - Nova Spy</v>
      </c>
      <c r="C41" s="42" t="str">
        <f ca="1">'Fruit Trees'!C35</f>
        <v>#5</v>
      </c>
      <c r="D41" s="42" t="str">
        <f ca="1">'Fruit Trees'!D35</f>
        <v>0.5-1"</v>
      </c>
      <c r="E41" s="42" t="str">
        <f ca="1">'Fruit Trees'!E35</f>
        <v>7-11'</v>
      </c>
      <c r="F41" s="52">
        <f ca="1">'Fruit Trees'!F35</f>
        <v>162</v>
      </c>
      <c r="G41" s="68">
        <f ca="1">'Fruit Trees'!G35*0.9</f>
        <v>49.5</v>
      </c>
      <c r="H41" s="51" t="str">
        <f t="shared" ca="1" si="0"/>
        <v>Apple - Nova Spy #5-2021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Trees'!A36</f>
        <v>Apple - Pink Lady</v>
      </c>
      <c r="C42" s="42" t="str">
        <f ca="1">'Fruit Trees'!C36</f>
        <v>#5</v>
      </c>
      <c r="D42" s="42" t="str">
        <f ca="1">'Fruit Trees'!D36</f>
        <v>0.5-0.75"</v>
      </c>
      <c r="E42" s="42" t="str">
        <f ca="1">'Fruit Trees'!E36</f>
        <v>5-6'</v>
      </c>
      <c r="F42" s="52">
        <f ca="1">'Fruit Trees'!F36</f>
        <v>22</v>
      </c>
      <c r="G42" s="68">
        <f ca="1">'Fruit Trees'!G36*0.9</f>
        <v>49.5</v>
      </c>
      <c r="H42" s="51" t="str">
        <f t="shared" ca="1" si="0"/>
        <v>Apple - Pink Lady #5-2021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Trees'!A37</f>
        <v>Apple - Querina</v>
      </c>
      <c r="C43" s="42" t="str">
        <f ca="1">'Fruit Trees'!C37</f>
        <v>#5</v>
      </c>
      <c r="D43" s="42" t="str">
        <f ca="1">'Fruit Trees'!D37</f>
        <v>0.5-1.25"</v>
      </c>
      <c r="E43" s="42" t="str">
        <f ca="1">'Fruit Trees'!E37</f>
        <v>6-10'</v>
      </c>
      <c r="F43" s="52">
        <f ca="1">'Fruit Trees'!F37</f>
        <v>324</v>
      </c>
      <c r="G43" s="68">
        <f ca="1">'Fruit Trees'!G37*0.9</f>
        <v>49.5</v>
      </c>
      <c r="H43" s="51" t="str">
        <f t="shared" ca="1" si="0"/>
        <v>Apple - Querina #5-2021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Trees'!A38</f>
        <v>Apple - Querina</v>
      </c>
      <c r="C44" s="42" t="str">
        <f ca="1">'Fruit Trees'!C38</f>
        <v>#10</v>
      </c>
      <c r="D44" s="42" t="str">
        <f ca="1">'Fruit Trees'!D38</f>
        <v>1.25-1.25"</v>
      </c>
      <c r="E44" s="42" t="str">
        <f ca="1">'Fruit Trees'!E38</f>
        <v>7-8'</v>
      </c>
      <c r="F44" s="52">
        <f ca="1">'Fruit Trees'!F38</f>
        <v>9</v>
      </c>
      <c r="G44" s="68">
        <f ca="1">'Fruit Trees'!G38*0.9</f>
        <v>90</v>
      </c>
      <c r="H44" s="51" t="str">
        <f t="shared" ca="1" si="0"/>
        <v>Apple - Querina #10-2021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Trees'!A39</f>
        <v>Apple - Red Cameo</v>
      </c>
      <c r="C45" s="42" t="str">
        <f ca="1">'Fruit Trees'!C39</f>
        <v>#5</v>
      </c>
      <c r="D45" s="42" t="str">
        <f ca="1">'Fruit Trees'!D39</f>
        <v>0.5-1"</v>
      </c>
      <c r="E45" s="42" t="str">
        <f ca="1">'Fruit Trees'!E39</f>
        <v>6-9'</v>
      </c>
      <c r="F45" s="52">
        <f ca="1">'Fruit Trees'!F39</f>
        <v>46</v>
      </c>
      <c r="G45" s="68">
        <f ca="1">'Fruit Trees'!G39*0.9</f>
        <v>49.5</v>
      </c>
      <c r="H45" s="51" t="str">
        <f t="shared" ca="1" si="0"/>
        <v>Apple - Red Cameo #5-2021</v>
      </c>
      <c r="I45" s="54"/>
      <c r="J45" s="55">
        <f t="shared" ca="1" si="1"/>
        <v>0</v>
      </c>
      <c r="K45" s="55"/>
    </row>
    <row r="46" spans="2:11" ht="12.75" hidden="1" x14ac:dyDescent="0.2">
      <c r="B46" s="51" t="str">
        <f ca="1">'Fruit Trees'!A40</f>
        <v>Apple - Red Delicious</v>
      </c>
      <c r="C46" s="42" t="str">
        <f ca="1">'Fruit Trees'!C40</f>
        <v>#5</v>
      </c>
      <c r="D46" s="42" t="str">
        <f ca="1">'Fruit Trees'!D40</f>
        <v>0.75-1.25"</v>
      </c>
      <c r="E46" s="42" t="str">
        <f ca="1">'Fruit Trees'!E40</f>
        <v>6-11'</v>
      </c>
      <c r="F46" s="52">
        <f ca="1">'Fruit Trees'!F40</f>
        <v>195</v>
      </c>
      <c r="G46" s="53">
        <f ca="1">'Fruit Trees'!G40*0.9</f>
        <v>49.5</v>
      </c>
      <c r="H46" s="51" t="str">
        <f t="shared" ca="1" si="0"/>
        <v>Apple - Red Delicious #5-2021</v>
      </c>
      <c r="I46" s="69"/>
      <c r="J46" s="55">
        <f t="shared" ca="1" si="1"/>
        <v>0</v>
      </c>
      <c r="K46" s="55"/>
    </row>
    <row r="47" spans="2:11" ht="12.75" hidden="1" x14ac:dyDescent="0.2">
      <c r="B47" s="51" t="str">
        <f ca="1">'Fruit Trees'!A41</f>
        <v>Apple - Red Delicious</v>
      </c>
      <c r="C47" s="42" t="str">
        <f ca="1">'Fruit Trees'!C41</f>
        <v>#10</v>
      </c>
      <c r="D47" s="42" t="str">
        <f ca="1">'Fruit Trees'!D41</f>
        <v>0.5-1.5"</v>
      </c>
      <c r="E47" s="42" t="str">
        <f ca="1">'Fruit Trees'!E41</f>
        <v>6-11'</v>
      </c>
      <c r="F47" s="52">
        <f ca="1">'Fruit Trees'!F41</f>
        <v>10</v>
      </c>
      <c r="G47" s="53">
        <f ca="1">'Fruit Trees'!G41*0.9</f>
        <v>90</v>
      </c>
      <c r="H47" s="51" t="str">
        <f t="shared" ca="1" si="0"/>
        <v>Apple - Red Delicious #10-2021</v>
      </c>
      <c r="I47" s="69"/>
      <c r="J47" s="55">
        <f t="shared" ca="1" si="1"/>
        <v>0</v>
      </c>
      <c r="K47" s="55"/>
    </row>
    <row r="48" spans="2:11" ht="12.75" hidden="1" x14ac:dyDescent="0.2">
      <c r="B48" s="51" t="str">
        <f ca="1">'Fruit Trees'!A42</f>
        <v>Apple - Red Delicious</v>
      </c>
      <c r="C48" s="42" t="str">
        <f ca="1">'Fruit Trees'!C42</f>
        <v>#15</v>
      </c>
      <c r="D48" s="42" t="str">
        <f ca="1">'Fruit Trees'!D42</f>
        <v>1.25-1.5"</v>
      </c>
      <c r="E48" s="42" t="str">
        <f ca="1">'Fruit Trees'!E42</f>
        <v>9-10'</v>
      </c>
      <c r="F48" s="52">
        <f ca="1">'Fruit Trees'!F42</f>
        <v>8</v>
      </c>
      <c r="G48" s="53">
        <f ca="1">'Fruit Trees'!G42*0.9</f>
        <v>135</v>
      </c>
      <c r="H48" s="51" t="str">
        <f t="shared" ca="1" si="0"/>
        <v>Apple - Red Delicious #15-2021</v>
      </c>
      <c r="I48" s="69"/>
      <c r="J48" s="55">
        <f t="shared" ca="1" si="1"/>
        <v>0</v>
      </c>
      <c r="K48" s="55"/>
    </row>
    <row r="49" spans="2:11" ht="12.75" x14ac:dyDescent="0.2">
      <c r="B49" s="51" t="str">
        <f ca="1">'Fruit Trees'!A43</f>
        <v>Apple - RubyRush</v>
      </c>
      <c r="C49" s="42" t="str">
        <f ca="1">'Fruit Trees'!C43</f>
        <v>#5</v>
      </c>
      <c r="D49" s="42" t="str">
        <f ca="1">'Fruit Trees'!D43</f>
        <v>1-1.25"</v>
      </c>
      <c r="E49" s="42" t="str">
        <f ca="1">'Fruit Trees'!E43</f>
        <v>8-12'</v>
      </c>
      <c r="F49" s="52">
        <f ca="1">'Fruit Trees'!F43</f>
        <v>26</v>
      </c>
      <c r="G49" s="68">
        <f ca="1">'Fruit Trees'!G43*0.9</f>
        <v>49.5</v>
      </c>
      <c r="H49" s="51" t="str">
        <f t="shared" ca="1" si="0"/>
        <v>Apple - RubyRush #5-2021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Trees'!A44</f>
        <v>Apple - Spur Winter Banana</v>
      </c>
      <c r="C50" s="42" t="str">
        <f ca="1">'Fruit Trees'!C44</f>
        <v>#5</v>
      </c>
      <c r="D50" s="42" t="str">
        <f ca="1">'Fruit Trees'!D44</f>
        <v>0.5-1"</v>
      </c>
      <c r="E50" s="42" t="str">
        <f ca="1">'Fruit Trees'!E44</f>
        <v>4-7'</v>
      </c>
      <c r="F50" s="52">
        <f ca="1">'Fruit Trees'!F44</f>
        <v>34</v>
      </c>
      <c r="G50" s="68">
        <f ca="1">'Fruit Trees'!G44*0.9</f>
        <v>49.5</v>
      </c>
      <c r="H50" s="51" t="str">
        <f t="shared" ca="1" si="0"/>
        <v>Apple - Spur Winter Banana #5-2021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Trees'!A45</f>
        <v>Apple - Winesap</v>
      </c>
      <c r="C51" s="42" t="str">
        <f ca="1">'Fruit Trees'!C45</f>
        <v>#5</v>
      </c>
      <c r="D51" s="42" t="str">
        <f ca="1">'Fruit Trees'!D45</f>
        <v>0.75-1.25"</v>
      </c>
      <c r="E51" s="42" t="str">
        <f ca="1">'Fruit Trees'!E45</f>
        <v>5-11'</v>
      </c>
      <c r="F51" s="52">
        <f ca="1">'Fruit Trees'!F45</f>
        <v>128</v>
      </c>
      <c r="G51" s="68">
        <f ca="1">'Fruit Trees'!G45*0.9</f>
        <v>49.5</v>
      </c>
      <c r="H51" s="51" t="str">
        <f t="shared" ca="1" si="0"/>
        <v>Apple - Winesap #5-2021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Trees'!A46</f>
        <v>Apple - Winesap</v>
      </c>
      <c r="C52" s="42" t="str">
        <f ca="1">'Fruit Trees'!C46</f>
        <v>#10</v>
      </c>
      <c r="D52" s="42" t="str">
        <f ca="1">'Fruit Trees'!D46</f>
        <v>1-1.25"</v>
      </c>
      <c r="E52" s="42" t="str">
        <f ca="1">'Fruit Trees'!E46</f>
        <v>5-6'</v>
      </c>
      <c r="F52" s="52">
        <f ca="1">'Fruit Trees'!F46</f>
        <v>6</v>
      </c>
      <c r="G52" s="68">
        <f ca="1">'Fruit Trees'!G46*0.9</f>
        <v>90</v>
      </c>
      <c r="H52" s="51" t="str">
        <f t="shared" ca="1" si="0"/>
        <v>Apple - Winesap #10-2021</v>
      </c>
      <c r="I52" s="54"/>
      <c r="J52" s="55">
        <f t="shared" ca="1" si="1"/>
        <v>0</v>
      </c>
      <c r="K52" s="55"/>
    </row>
    <row r="53" spans="2:11" ht="12.75" hidden="1" x14ac:dyDescent="0.2">
      <c r="B53" s="51" t="str">
        <f ca="1">'Fruit Trees'!A47</f>
        <v>Apple - Winesap</v>
      </c>
      <c r="C53" s="42" t="str">
        <f ca="1">'Fruit Trees'!C47</f>
        <v>#15</v>
      </c>
      <c r="D53" s="42" t="str">
        <f ca="1">'Fruit Trees'!D47</f>
        <v>1-1.25"</v>
      </c>
      <c r="E53" s="42" t="str">
        <f ca="1">'Fruit Trees'!E47</f>
        <v>9-10'</v>
      </c>
      <c r="F53" s="52">
        <f ca="1">'Fruit Trees'!F47</f>
        <v>8</v>
      </c>
      <c r="G53" s="53">
        <f ca="1">'Fruit Trees'!G47*0.9</f>
        <v>135</v>
      </c>
      <c r="H53" s="51" t="str">
        <f t="shared" ca="1" si="0"/>
        <v>Apple - Winesap #15-2021</v>
      </c>
      <c r="I53" s="69"/>
      <c r="J53" s="55">
        <f t="shared" ca="1" si="1"/>
        <v>0</v>
      </c>
      <c r="K53" s="55"/>
    </row>
    <row r="54" spans="2:11" ht="12.75" hidden="1" x14ac:dyDescent="0.2">
      <c r="B54" s="51" t="str">
        <f ca="1">'Fruit Trees'!A48</f>
        <v>Apple - Wolf River</v>
      </c>
      <c r="C54" s="42" t="str">
        <f ca="1">'Fruit Trees'!C48</f>
        <v>#10</v>
      </c>
      <c r="D54" s="42" t="str">
        <f ca="1">'Fruit Trees'!D48</f>
        <v>1.25-1.25"</v>
      </c>
      <c r="E54" s="42" t="str">
        <f ca="1">'Fruit Trees'!E48</f>
        <v>10-11'</v>
      </c>
      <c r="F54" s="52">
        <f ca="1">'Fruit Trees'!F48</f>
        <v>9</v>
      </c>
      <c r="G54" s="53">
        <f ca="1">'Fruit Trees'!G48*0.9</f>
        <v>90</v>
      </c>
      <c r="H54" s="51" t="str">
        <f t="shared" ca="1" si="0"/>
        <v>Apple - Wolf River #10-2021</v>
      </c>
      <c r="I54" s="69"/>
      <c r="J54" s="55">
        <f t="shared" ca="1" si="1"/>
        <v>0</v>
      </c>
      <c r="K54" s="55"/>
    </row>
    <row r="55" spans="2:11" ht="12.75" hidden="1" x14ac:dyDescent="0.2">
      <c r="B55" s="51" t="str">
        <f ca="1">'Fruit Trees'!A49</f>
        <v>Apple - Wolf River</v>
      </c>
      <c r="C55" s="42" t="str">
        <f ca="1">'Fruit Trees'!C49</f>
        <v>#5</v>
      </c>
      <c r="D55" s="42" t="str">
        <f ca="1">'Fruit Trees'!D49</f>
        <v>0.75-1"</v>
      </c>
      <c r="E55" s="42" t="str">
        <f ca="1">'Fruit Trees'!E49</f>
        <v>6-10'</v>
      </c>
      <c r="F55" s="52">
        <f ca="1">'Fruit Trees'!F49</f>
        <v>120</v>
      </c>
      <c r="G55" s="53">
        <f ca="1">'Fruit Trees'!G49*0.9</f>
        <v>49.5</v>
      </c>
      <c r="H55" s="51" t="str">
        <f t="shared" ca="1" si="0"/>
        <v>Apple - Wolf River #5-2021</v>
      </c>
      <c r="I55" s="69"/>
      <c r="J55" s="55">
        <f t="shared" ca="1" si="1"/>
        <v>0</v>
      </c>
      <c r="K55" s="55"/>
    </row>
    <row r="56" spans="2:11" ht="12.75" hidden="1" x14ac:dyDescent="0.2">
      <c r="B56" s="51" t="str">
        <f ca="1">'Fruit Trees'!A50</f>
        <v>Apricot - Moorpark</v>
      </c>
      <c r="C56" s="42" t="str">
        <f ca="1">'Fruit Trees'!C50</f>
        <v>#5</v>
      </c>
      <c r="D56" s="42" t="str">
        <f ca="1">'Fruit Trees'!D50</f>
        <v>0.75-1"</v>
      </c>
      <c r="E56" s="42" t="str">
        <f ca="1">'Fruit Trees'!E50</f>
        <v>5-6.5'</v>
      </c>
      <c r="F56" s="52">
        <f ca="1">'Fruit Trees'!F50</f>
        <v>14</v>
      </c>
      <c r="G56" s="53">
        <f ca="1">'Fruit Trees'!G50*0.9</f>
        <v>63</v>
      </c>
      <c r="H56" s="51" t="str">
        <f t="shared" ca="1" si="0"/>
        <v>Apricot - Moorpark #5-2021</v>
      </c>
      <c r="I56" s="69"/>
      <c r="J56" s="55">
        <f t="shared" ca="1" si="1"/>
        <v>0</v>
      </c>
      <c r="K56" s="55"/>
    </row>
    <row r="57" spans="2:11" ht="12.75" hidden="1" x14ac:dyDescent="0.2">
      <c r="B57" s="51" t="str">
        <f ca="1">'Fruit Trees'!A51</f>
        <v>Asian Pear - Hosui</v>
      </c>
      <c r="C57" s="42" t="str">
        <f ca="1">'Fruit Trees'!C51</f>
        <v>#7</v>
      </c>
      <c r="D57" s="42" t="str">
        <f ca="1">'Fruit Trees'!D51</f>
        <v>1-1.25"</v>
      </c>
      <c r="E57" s="42" t="str">
        <f ca="1">'Fruit Trees'!E51</f>
        <v>8.5-10'</v>
      </c>
      <c r="F57" s="52">
        <f ca="1">'Fruit Trees'!F51</f>
        <v>3</v>
      </c>
      <c r="G57" s="53">
        <f ca="1">'Fruit Trees'!G51*0.9</f>
        <v>72</v>
      </c>
      <c r="H57" s="51" t="str">
        <f t="shared" ca="1" si="0"/>
        <v>Asian Pear - Hosui #7-2021</v>
      </c>
      <c r="I57" s="69"/>
      <c r="J57" s="55">
        <f t="shared" ca="1" si="1"/>
        <v>0</v>
      </c>
      <c r="K57" s="55"/>
    </row>
    <row r="58" spans="2:11" ht="12.75" hidden="1" x14ac:dyDescent="0.2">
      <c r="B58" s="51" t="str">
        <f ca="1">'Fruit Trees'!A52</f>
        <v>Asian Pear - Kosui</v>
      </c>
      <c r="C58" s="42" t="str">
        <f ca="1">'Fruit Trees'!C52</f>
        <v>#7</v>
      </c>
      <c r="D58" s="42" t="str">
        <f ca="1">'Fruit Trees'!D52</f>
        <v>0.75-1.5"</v>
      </c>
      <c r="E58" s="42" t="str">
        <f ca="1">'Fruit Trees'!E52</f>
        <v>6-11'</v>
      </c>
      <c r="F58" s="52">
        <f ca="1">'Fruit Trees'!F52</f>
        <v>73</v>
      </c>
      <c r="G58" s="53">
        <f ca="1">'Fruit Trees'!G52*0.9</f>
        <v>72</v>
      </c>
      <c r="H58" s="51" t="str">
        <f t="shared" ca="1" si="0"/>
        <v>Asian Pear - Kosui #7-2021</v>
      </c>
      <c r="I58" s="69"/>
      <c r="J58" s="55">
        <f t="shared" ca="1" si="1"/>
        <v>0</v>
      </c>
      <c r="K58" s="55"/>
    </row>
    <row r="59" spans="2:11" ht="12.75" hidden="1" x14ac:dyDescent="0.2">
      <c r="B59" s="51" t="str">
        <f ca="1">'Fruit Trees'!A53</f>
        <v>Asian Pear - Olympic</v>
      </c>
      <c r="C59" s="42" t="str">
        <f ca="1">'Fruit Trees'!C53</f>
        <v>#5</v>
      </c>
      <c r="D59" s="42" t="str">
        <f ca="1">'Fruit Trees'!D53</f>
        <v>0.5-1"</v>
      </c>
      <c r="E59" s="42" t="str">
        <f ca="1">'Fruit Trees'!E53</f>
        <v>6-8'</v>
      </c>
      <c r="F59" s="52">
        <f ca="1">'Fruit Trees'!F53</f>
        <v>38</v>
      </c>
      <c r="G59" s="53">
        <f ca="1">'Fruit Trees'!G53*0.9</f>
        <v>49.5</v>
      </c>
      <c r="H59" s="51" t="str">
        <f t="shared" ca="1" si="0"/>
        <v>Asian Pear - Olympic #5-2021</v>
      </c>
      <c r="I59" s="69"/>
      <c r="J59" s="55">
        <f t="shared" ca="1" si="1"/>
        <v>0</v>
      </c>
      <c r="K59" s="55"/>
    </row>
    <row r="60" spans="2:11" ht="12.75" hidden="1" x14ac:dyDescent="0.2">
      <c r="B60" s="51" t="str">
        <f ca="1">'Fruit Trees'!A54</f>
        <v>Asian Pear - Olympic</v>
      </c>
      <c r="C60" s="42" t="str">
        <f ca="1">'Fruit Trees'!C54</f>
        <v>#7</v>
      </c>
      <c r="D60" s="42" t="str">
        <f ca="1">'Fruit Trees'!D54</f>
        <v>1-1.5"</v>
      </c>
      <c r="E60" s="42" t="str">
        <f ca="1">'Fruit Trees'!E54</f>
        <v>6-11'</v>
      </c>
      <c r="F60" s="52">
        <f ca="1">'Fruit Trees'!F54</f>
        <v>116</v>
      </c>
      <c r="G60" s="53">
        <f ca="1">'Fruit Trees'!G54*0.9</f>
        <v>72</v>
      </c>
      <c r="H60" s="51" t="str">
        <f t="shared" ca="1" si="0"/>
        <v>Asian Pear - Olympic #7-2021</v>
      </c>
      <c r="I60" s="69"/>
      <c r="J60" s="55">
        <f t="shared" ca="1" si="1"/>
        <v>0</v>
      </c>
      <c r="K60" s="55"/>
    </row>
    <row r="61" spans="2:11" ht="12.75" x14ac:dyDescent="0.2">
      <c r="B61" s="51" t="str">
        <f ca="1">'Fruit Trees'!A55</f>
        <v>Asian Pear - Shinko</v>
      </c>
      <c r="C61" s="42" t="str">
        <f ca="1">'Fruit Trees'!C55</f>
        <v>#5</v>
      </c>
      <c r="D61" s="42" t="str">
        <f ca="1">'Fruit Trees'!D55</f>
        <v>0.5-1.25"</v>
      </c>
      <c r="E61" s="42" t="str">
        <f ca="1">'Fruit Trees'!E55</f>
        <v>6-9'</v>
      </c>
      <c r="F61" s="52">
        <f ca="1">'Fruit Trees'!F55</f>
        <v>59</v>
      </c>
      <c r="G61" s="68">
        <f ca="1">'Fruit Trees'!G55*0.9</f>
        <v>49.5</v>
      </c>
      <c r="H61" s="51" t="str">
        <f t="shared" ca="1" si="0"/>
        <v>Asian Pear - Shinko #5-2021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Trees'!A56</f>
        <v>Asian Pear - Shinko</v>
      </c>
      <c r="C62" s="42" t="str">
        <f ca="1">'Fruit Trees'!C56</f>
        <v>#7</v>
      </c>
      <c r="D62" s="42" t="str">
        <f ca="1">'Fruit Trees'!D56</f>
        <v>0.75-1.25"</v>
      </c>
      <c r="E62" s="42" t="str">
        <f ca="1">'Fruit Trees'!E56</f>
        <v>6.5-11'</v>
      </c>
      <c r="F62" s="52">
        <f ca="1">'Fruit Trees'!F56</f>
        <v>32</v>
      </c>
      <c r="G62" s="68">
        <f ca="1">'Fruit Trees'!G56*0.9</f>
        <v>72</v>
      </c>
      <c r="H62" s="51" t="str">
        <f t="shared" ca="1" si="0"/>
        <v>Asian Pear - Shinko #7-2021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Trees'!A57</f>
        <v>Asian Pear - Shinseiki</v>
      </c>
      <c r="C63" s="42" t="str">
        <f ca="1">'Fruit Trees'!C57</f>
        <v>#5</v>
      </c>
      <c r="D63" s="42" t="str">
        <f ca="1">'Fruit Trees'!D57</f>
        <v>0.5-0.75"</v>
      </c>
      <c r="E63" s="42" t="str">
        <f ca="1">'Fruit Trees'!E57</f>
        <v>6-7'</v>
      </c>
      <c r="F63" s="52">
        <f ca="1">'Fruit Trees'!F57</f>
        <v>88</v>
      </c>
      <c r="G63" s="68">
        <f ca="1">'Fruit Trees'!G57*0.9</f>
        <v>49.5</v>
      </c>
      <c r="H63" s="51" t="str">
        <f t="shared" ca="1" si="0"/>
        <v>Asian Pear - Shinseiki #5-2021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Trees'!A58</f>
        <v>Black Chokeberry</v>
      </c>
      <c r="C64" s="42" t="str">
        <f ca="1">'Fruit Trees'!C58</f>
        <v>#5</v>
      </c>
      <c r="D64" s="42" t="str">
        <f ca="1">'Fruit Trees'!D58</f>
        <v>Multi</v>
      </c>
      <c r="E64" s="42" t="str">
        <f ca="1">'Fruit Trees'!E58</f>
        <v>2.5-3'</v>
      </c>
      <c r="F64" s="52">
        <f ca="1">'Fruit Trees'!F58</f>
        <v>14</v>
      </c>
      <c r="G64" s="68">
        <f ca="1">'Fruit Trees'!G58*0.9</f>
        <v>33.300000000000004</v>
      </c>
      <c r="H64" s="51" t="str">
        <f t="shared" ca="1" si="0"/>
        <v>Black Chokeberry #5-2021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Trees'!A59</f>
        <v>Blackberry - Arapaho</v>
      </c>
      <c r="C65" s="42" t="str">
        <f ca="1">'Fruit Trees'!C59</f>
        <v>#5</v>
      </c>
      <c r="D65" s="42" t="str">
        <f ca="1">'Fruit Trees'!D59</f>
        <v>Vine</v>
      </c>
      <c r="E65" s="42" t="str">
        <f ca="1">'Fruit Trees'!E59</f>
        <v>0.5-0.5'</v>
      </c>
      <c r="F65" s="52">
        <f ca="1">'Fruit Trees'!F59</f>
        <v>143</v>
      </c>
      <c r="G65" s="68">
        <f ca="1">'Fruit Trees'!G59*0.9</f>
        <v>31.5</v>
      </c>
      <c r="H65" s="51" t="str">
        <f t="shared" ca="1" si="0"/>
        <v>Blackberry - Arapaho #5-2021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Trees'!A60</f>
        <v>Blackberry - Navajo</v>
      </c>
      <c r="C66" s="42" t="str">
        <f ca="1">'Fruit Trees'!C60</f>
        <v>#5</v>
      </c>
      <c r="D66" s="42" t="str">
        <f ca="1">'Fruit Trees'!D60</f>
        <v>Multi</v>
      </c>
      <c r="E66" s="42" t="str">
        <f ca="1">'Fruit Trees'!E60</f>
        <v>2-3'</v>
      </c>
      <c r="F66" s="52">
        <f ca="1">'Fruit Trees'!F60</f>
        <v>41</v>
      </c>
      <c r="G66" s="68">
        <f ca="1">'Fruit Trees'!G60*0.9</f>
        <v>31.5</v>
      </c>
      <c r="H66" s="51" t="str">
        <f t="shared" ca="1" si="0"/>
        <v>Blackberry - Navajo #5-2021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Trees'!A61</f>
        <v>Blackberry - Ouachita</v>
      </c>
      <c r="C67" s="42" t="str">
        <f ca="1">'Fruit Trees'!C61</f>
        <v>#5</v>
      </c>
      <c r="D67" s="42" t="str">
        <f ca="1">'Fruit Trees'!D61</f>
        <v>Vine</v>
      </c>
      <c r="E67" s="42" t="str">
        <f ca="1">'Fruit Trees'!E61</f>
        <v>3-5'</v>
      </c>
      <c r="F67" s="52">
        <f ca="1">'Fruit Trees'!F61</f>
        <v>29</v>
      </c>
      <c r="G67" s="68">
        <f ca="1">'Fruit Trees'!G61*0.9</f>
        <v>31.5</v>
      </c>
      <c r="H67" s="51" t="str">
        <f t="shared" ca="1" si="0"/>
        <v>Blackberry - Ouachita #5-2021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Trees'!A62</f>
        <v>Blackberry - Prime-ark 'Freedom'</v>
      </c>
      <c r="C68" s="42" t="str">
        <f ca="1">'Fruit Trees'!C62</f>
        <v>#5</v>
      </c>
      <c r="D68" s="42" t="str">
        <f ca="1">'Fruit Trees'!D62</f>
        <v>Vine</v>
      </c>
      <c r="E68" s="42" t="str">
        <f ca="1">'Fruit Trees'!E62</f>
        <v>2-3'</v>
      </c>
      <c r="F68" s="52">
        <f ca="1">'Fruit Trees'!F62</f>
        <v>50</v>
      </c>
      <c r="G68" s="68">
        <f ca="1">'Fruit Trees'!G62*0.9</f>
        <v>31.5</v>
      </c>
      <c r="H68" s="51" t="str">
        <f t="shared" ca="1" si="0"/>
        <v>Blackberry - Prime-ark 'Freedom' #5-2021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Trees'!A63</f>
        <v>Blueberry - Blue Crop</v>
      </c>
      <c r="C69" s="42" t="str">
        <f ca="1">'Fruit Trees'!C63</f>
        <v>#3p</v>
      </c>
      <c r="D69" s="42" t="str">
        <f ca="1">'Fruit Trees'!D63</f>
        <v>Multi</v>
      </c>
      <c r="E69" s="42" t="str">
        <f ca="1">'Fruit Trees'!E63</f>
        <v>2.5-3'</v>
      </c>
      <c r="F69" s="52">
        <f ca="1">'Fruit Trees'!F63</f>
        <v>3</v>
      </c>
      <c r="G69" s="68">
        <f ca="1">'Fruit Trees'!G63*0.9</f>
        <v>31.5</v>
      </c>
      <c r="H69" s="51" t="str">
        <f t="shared" ca="1" si="0"/>
        <v>Blueberry - Blue Crop #3p-2021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Trees'!A64</f>
        <v>Cherry (Sour) - Montmorency</v>
      </c>
      <c r="C70" s="42" t="str">
        <f ca="1">'Fruit Trees'!C64</f>
        <v>#5</v>
      </c>
      <c r="D70" s="42" t="str">
        <f ca="1">'Fruit Trees'!D64</f>
        <v>0.75-1.25"</v>
      </c>
      <c r="E70" s="42" t="str">
        <f ca="1">'Fruit Trees'!E64</f>
        <v>5.5-8'</v>
      </c>
      <c r="F70" s="52">
        <f ca="1">'Fruit Trees'!F64</f>
        <v>1</v>
      </c>
      <c r="G70" s="68">
        <f ca="1">'Fruit Trees'!G64*0.9</f>
        <v>72</v>
      </c>
      <c r="H70" s="51" t="str">
        <f t="shared" ca="1" si="0"/>
        <v>Cherry (Sour) - Montmorency #5-2021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Trees'!A65</f>
        <v>Chestnut - Chinese</v>
      </c>
      <c r="C71" s="42" t="str">
        <f ca="1">'Fruit Trees'!C65</f>
        <v>#5</v>
      </c>
      <c r="D71" s="42" t="str">
        <f ca="1">'Fruit Trees'!D65</f>
        <v>0.25-1.25"</v>
      </c>
      <c r="E71" s="42" t="str">
        <f ca="1">'Fruit Trees'!E65</f>
        <v>4-10'</v>
      </c>
      <c r="F71" s="52">
        <f ca="1">'Fruit Trees'!F65</f>
        <v>204</v>
      </c>
      <c r="G71" s="68">
        <f ca="1">'Fruit Trees'!G65*0.9</f>
        <v>49.5</v>
      </c>
      <c r="H71" s="51" t="str">
        <f t="shared" ca="1" si="0"/>
        <v>Chestnut - Chinese #5-2021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Trees'!A66</f>
        <v>Currant - Rovada Red</v>
      </c>
      <c r="C72" s="42" t="str">
        <f ca="1">'Fruit Trees'!C66</f>
        <v>#5</v>
      </c>
      <c r="D72" s="42" t="str">
        <f ca="1">'Fruit Trees'!D66</f>
        <v>Multi</v>
      </c>
      <c r="E72" s="42" t="str">
        <f ca="1">'Fruit Trees'!E66</f>
        <v>1-2'</v>
      </c>
      <c r="F72" s="52">
        <f ca="1">'Fruit Trees'!F66</f>
        <v>80</v>
      </c>
      <c r="G72" s="68">
        <f ca="1">'Fruit Trees'!G66*0.9</f>
        <v>40.5</v>
      </c>
      <c r="H72" s="51" t="str">
        <f t="shared" ca="1" si="0"/>
        <v>Currant - Rovada Red #5-2021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Trees'!A67</f>
        <v>Elderberry</v>
      </c>
      <c r="C73" s="42" t="str">
        <f ca="1">'Fruit Trees'!C67</f>
        <v>#5</v>
      </c>
      <c r="D73" s="42" t="str">
        <f ca="1">'Fruit Trees'!D67</f>
        <v>Multi</v>
      </c>
      <c r="E73" s="42" t="str">
        <f ca="1">'Fruit Trees'!E67</f>
        <v>1-5'</v>
      </c>
      <c r="F73" s="52">
        <f ca="1">'Fruit Trees'!F67</f>
        <v>163</v>
      </c>
      <c r="G73" s="68">
        <f ca="1">'Fruit Trees'!G67*0.9</f>
        <v>31.5</v>
      </c>
      <c r="H73" s="51" t="str">
        <f t="shared" ca="1" si="0"/>
        <v>Elderberry #5-2021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Trees'!A68</f>
        <v>Elderberry - Pocahontas</v>
      </c>
      <c r="C74" s="42" t="str">
        <f ca="1">'Fruit Trees'!C68</f>
        <v>#5</v>
      </c>
      <c r="D74" s="42" t="str">
        <f ca="1">'Fruit Trees'!D68</f>
        <v>Multi</v>
      </c>
      <c r="E74" s="42" t="str">
        <f ca="1">'Fruit Trees'!E68</f>
        <v>1.5-4'</v>
      </c>
      <c r="F74" s="52">
        <f ca="1">'Fruit Trees'!F68</f>
        <v>27</v>
      </c>
      <c r="G74" s="68">
        <f ca="1">'Fruit Trees'!G68*0.9</f>
        <v>31.5</v>
      </c>
      <c r="H74" s="51" t="str">
        <f t="shared" ca="1" si="0"/>
        <v>Elderberry - Pocahontas #5-2021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Trees'!A69</f>
        <v>Elderberry - York</v>
      </c>
      <c r="C75" s="42" t="str">
        <f ca="1">'Fruit Trees'!C69</f>
        <v>#5</v>
      </c>
      <c r="D75" s="42" t="str">
        <f ca="1">'Fruit Trees'!D69</f>
        <v>Multi</v>
      </c>
      <c r="E75" s="42" t="str">
        <f ca="1">'Fruit Trees'!E69</f>
        <v>3-5'</v>
      </c>
      <c r="F75" s="52">
        <f ca="1">'Fruit Trees'!F69</f>
        <v>141</v>
      </c>
      <c r="G75" s="68">
        <f ca="1">'Fruit Trees'!G69*0.9</f>
        <v>31.5</v>
      </c>
      <c r="H75" s="51" t="str">
        <f t="shared" ca="1" si="0"/>
        <v>Elderberry - York #5-2021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Trees'!A70</f>
        <v>Fig - Black Mission</v>
      </c>
      <c r="C76" s="42" t="str">
        <f ca="1">'Fruit Trees'!C70</f>
        <v>#5</v>
      </c>
      <c r="D76" s="42" t="str">
        <f ca="1">'Fruit Trees'!D70</f>
        <v>Multi</v>
      </c>
      <c r="E76" s="42" t="str">
        <f ca="1">'Fruit Trees'!E70</f>
        <v>0.5-3'</v>
      </c>
      <c r="F76" s="52">
        <f ca="1">'Fruit Trees'!F70</f>
        <v>92</v>
      </c>
      <c r="G76" s="68">
        <f ca="1">'Fruit Trees'!G70*0.9</f>
        <v>31.5</v>
      </c>
      <c r="H76" s="51" t="str">
        <f t="shared" ca="1" si="0"/>
        <v>Fig - Black Mission #5-2021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Trees'!A71</f>
        <v>Fig - Brown Turkey</v>
      </c>
      <c r="C77" s="42" t="str">
        <f ca="1">'Fruit Trees'!C71</f>
        <v>#5</v>
      </c>
      <c r="D77" s="42" t="str">
        <f ca="1">'Fruit Trees'!D71</f>
        <v>Multi</v>
      </c>
      <c r="E77" s="42" t="str">
        <f ca="1">'Fruit Trees'!E71</f>
        <v>1-2'</v>
      </c>
      <c r="F77" s="52">
        <f ca="1">'Fruit Trees'!F71</f>
        <v>21</v>
      </c>
      <c r="G77" s="68">
        <f ca="1">'Fruit Trees'!G71*0.9</f>
        <v>31.5</v>
      </c>
      <c r="H77" s="51" t="str">
        <f t="shared" ca="1" si="0"/>
        <v>Fig - Brown Turkey #5-2021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Trees'!A72</f>
        <v>Fig - Celeste</v>
      </c>
      <c r="C78" s="42" t="str">
        <f ca="1">'Fruit Trees'!C72</f>
        <v>#5</v>
      </c>
      <c r="D78" s="42" t="str">
        <f ca="1">'Fruit Trees'!D72</f>
        <v>0.25-0.25"</v>
      </c>
      <c r="E78" s="42" t="str">
        <f ca="1">'Fruit Trees'!E72</f>
        <v>0.25-3'</v>
      </c>
      <c r="F78" s="52">
        <f ca="1">'Fruit Trees'!F72</f>
        <v>55</v>
      </c>
      <c r="G78" s="68">
        <f ca="1">'Fruit Trees'!G72*0.9</f>
        <v>31.5</v>
      </c>
      <c r="H78" s="51" t="str">
        <f t="shared" ca="1" si="0"/>
        <v>Fig - Celeste #5-2021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Trees'!A73</f>
        <v>Fig - Celeste</v>
      </c>
      <c r="C79" s="42" t="str">
        <f ca="1">'Fruit Trees'!C73</f>
        <v>#5</v>
      </c>
      <c r="D79" s="42" t="str">
        <f ca="1">'Fruit Trees'!D73</f>
        <v>Multi</v>
      </c>
      <c r="E79" s="42" t="str">
        <f ca="1">'Fruit Trees'!E73</f>
        <v>0.25-3'</v>
      </c>
      <c r="F79" s="52">
        <f ca="1">'Fruit Trees'!F73</f>
        <v>32</v>
      </c>
      <c r="G79" s="68">
        <f ca="1">'Fruit Trees'!G73*0.9</f>
        <v>31.5</v>
      </c>
      <c r="H79" s="51" t="str">
        <f t="shared" ca="1" si="0"/>
        <v>Fig - Celeste #5-2021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Trees'!A74</f>
        <v>Fig - Chicago Hardy</v>
      </c>
      <c r="C80" s="42" t="str">
        <f ca="1">'Fruit Trees'!C74</f>
        <v>#5</v>
      </c>
      <c r="D80" s="42" t="str">
        <f ca="1">'Fruit Trees'!D74</f>
        <v>Multi</v>
      </c>
      <c r="E80" s="42" t="str">
        <f ca="1">'Fruit Trees'!E74</f>
        <v>2-4'</v>
      </c>
      <c r="F80" s="52">
        <f ca="1">'Fruit Trees'!F74</f>
        <v>187</v>
      </c>
      <c r="G80" s="68">
        <f ca="1">'Fruit Trees'!G74*0.9</f>
        <v>31.5</v>
      </c>
      <c r="H80" s="51" t="str">
        <f t="shared" ca="1" si="0"/>
        <v>Fig - Chicago Hardy #5-2021</v>
      </c>
      <c r="I80" s="54"/>
      <c r="J80" s="55">
        <f t="shared" ca="1" si="1"/>
        <v>0</v>
      </c>
      <c r="K80" s="55"/>
    </row>
    <row r="81" spans="2:11" ht="12.75" hidden="1" x14ac:dyDescent="0.2">
      <c r="B81" s="51" t="str">
        <f ca="1">'Fruit Trees'!A75</f>
        <v>Fig - Fignomenal</v>
      </c>
      <c r="C81" s="42" t="str">
        <f ca="1">'Fruit Trees'!C75</f>
        <v>#5</v>
      </c>
      <c r="D81" s="42" t="str">
        <f ca="1">'Fruit Trees'!D75</f>
        <v>Multi</v>
      </c>
      <c r="E81" s="42" t="str">
        <f ca="1">'Fruit Trees'!E75</f>
        <v>0.5-1'</v>
      </c>
      <c r="F81" s="52">
        <f ca="1">'Fruit Trees'!F75</f>
        <v>60</v>
      </c>
      <c r="G81" s="53">
        <f ca="1">'Fruit Trees'!G75*0.9</f>
        <v>31.5</v>
      </c>
      <c r="H81" s="51" t="str">
        <f t="shared" ca="1" si="0"/>
        <v>Fig - Fignomenal #5-2021</v>
      </c>
      <c r="I81" s="69"/>
      <c r="J81" s="55">
        <f t="shared" ca="1" si="1"/>
        <v>0</v>
      </c>
      <c r="K81" s="55"/>
    </row>
    <row r="82" spans="2:11" ht="12.75" x14ac:dyDescent="0.2">
      <c r="B82" s="51" t="str">
        <f ca="1">'Fruit Trees'!A76</f>
        <v>Fig - Italian Honey</v>
      </c>
      <c r="C82" s="42" t="str">
        <f ca="1">'Fruit Trees'!C76</f>
        <v>#5</v>
      </c>
      <c r="D82" s="42" t="str">
        <f ca="1">'Fruit Trees'!D76</f>
        <v>Multi</v>
      </c>
      <c r="E82" s="42" t="str">
        <f ca="1">'Fruit Trees'!E76</f>
        <v>1.5-2.5'</v>
      </c>
      <c r="F82" s="52">
        <f ca="1">'Fruit Trees'!F76</f>
        <v>12</v>
      </c>
      <c r="G82" s="68">
        <f ca="1">'Fruit Trees'!G76*0.9</f>
        <v>31.5</v>
      </c>
      <c r="H82" s="51" t="str">
        <f t="shared" ca="1" si="0"/>
        <v>Fig - Italian Honey #5-2021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Trees'!A77</f>
        <v>Fig - Olympian</v>
      </c>
      <c r="C83" s="42" t="str">
        <f ca="1">'Fruit Trees'!C77</f>
        <v>#5</v>
      </c>
      <c r="D83" s="42" t="str">
        <f ca="1">'Fruit Trees'!D77</f>
        <v>Multi</v>
      </c>
      <c r="E83" s="42" t="str">
        <f ca="1">'Fruit Trees'!E77</f>
        <v>0.25-0.5'</v>
      </c>
      <c r="F83" s="52">
        <f ca="1">'Fruit Trees'!F77</f>
        <v>52</v>
      </c>
      <c r="G83" s="68">
        <f ca="1">'Fruit Trees'!G77*0.9</f>
        <v>31.5</v>
      </c>
      <c r="H83" s="51" t="str">
        <f t="shared" ca="1" si="0"/>
        <v>Fig - Olympian #5-2021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Trees'!A78</f>
        <v>Goji Berry</v>
      </c>
      <c r="C84" s="42" t="str">
        <f ca="1">'Fruit Trees'!C78</f>
        <v>#5</v>
      </c>
      <c r="D84" s="42" t="str">
        <f ca="1">'Fruit Trees'!D78</f>
        <v>Multi</v>
      </c>
      <c r="E84" s="42" t="str">
        <f ca="1">'Fruit Trees'!E78</f>
        <v>0.5-0.5'</v>
      </c>
      <c r="F84" s="52">
        <f ca="1">'Fruit Trees'!F78</f>
        <v>38</v>
      </c>
      <c r="G84" s="68">
        <f ca="1">'Fruit Trees'!G78*0.9</f>
        <v>31.5</v>
      </c>
      <c r="H84" s="51" t="str">
        <f t="shared" ca="1" si="0"/>
        <v>Goji Berry #5-2021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Trees'!A79</f>
        <v>Gooseberry - Hinnomaki Red</v>
      </c>
      <c r="C85" s="42" t="str">
        <f ca="1">'Fruit Trees'!C79</f>
        <v>#5</v>
      </c>
      <c r="D85" s="42" t="str">
        <f ca="1">'Fruit Trees'!D79</f>
        <v>Multi</v>
      </c>
      <c r="E85" s="42" t="str">
        <f ca="1">'Fruit Trees'!E79</f>
        <v>1-2'</v>
      </c>
      <c r="F85" s="52">
        <f ca="1">'Fruit Trees'!F79</f>
        <v>120</v>
      </c>
      <c r="G85" s="68">
        <f ca="1">'Fruit Trees'!G79*0.9</f>
        <v>40.5</v>
      </c>
      <c r="H85" s="51" t="str">
        <f t="shared" ca="1" si="0"/>
        <v>Gooseberry - Hinnomaki Red #5-2021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Trees'!A80</f>
        <v>Gooseberry - Invicta Green</v>
      </c>
      <c r="C86" s="42" t="str">
        <f ca="1">'Fruit Trees'!C80</f>
        <v>#5</v>
      </c>
      <c r="D86" s="42" t="str">
        <f ca="1">'Fruit Trees'!D80</f>
        <v>Vine</v>
      </c>
      <c r="E86" s="42" t="str">
        <f ca="1">'Fruit Trees'!E80</f>
        <v>1-1.5'</v>
      </c>
      <c r="F86" s="52">
        <f ca="1">'Fruit Trees'!F80</f>
        <v>121</v>
      </c>
      <c r="G86" s="68">
        <f ca="1">'Fruit Trees'!G80*0.9</f>
        <v>40.5</v>
      </c>
      <c r="H86" s="51" t="str">
        <f t="shared" ca="1" si="0"/>
        <v>Gooseberry - Invicta Green #5-2021</v>
      </c>
      <c r="I86" s="54"/>
      <c r="J86" s="55">
        <f t="shared" ca="1" si="1"/>
        <v>0</v>
      </c>
      <c r="K86" s="55"/>
    </row>
    <row r="87" spans="2:11" ht="12.75" hidden="1" x14ac:dyDescent="0.2">
      <c r="B87" s="51" t="str">
        <f ca="1">'Fruit Trees'!A81</f>
        <v>Grape - Concord</v>
      </c>
      <c r="C87" s="42" t="str">
        <f ca="1">'Fruit Trees'!C81</f>
        <v>#5</v>
      </c>
      <c r="D87" s="42" t="str">
        <f ca="1">'Fruit Trees'!D81</f>
        <v>Vine</v>
      </c>
      <c r="E87" s="42" t="str">
        <f ca="1">'Fruit Trees'!E81</f>
        <v>1-3'</v>
      </c>
      <c r="F87" s="52">
        <f ca="1">'Fruit Trees'!F81</f>
        <v>26</v>
      </c>
      <c r="G87" s="53">
        <f ca="1">'Fruit Trees'!G81*0.9</f>
        <v>45</v>
      </c>
      <c r="H87" s="51" t="str">
        <f t="shared" ca="1" si="0"/>
        <v>Grape - Concord #5-2021</v>
      </c>
      <c r="I87" s="69"/>
      <c r="J87" s="55">
        <f t="shared" ca="1" si="1"/>
        <v>0</v>
      </c>
      <c r="K87" s="55"/>
    </row>
    <row r="88" spans="2:11" ht="12.75" hidden="1" x14ac:dyDescent="0.2">
      <c r="B88" s="51" t="str">
        <f ca="1">'Fruit Trees'!A82</f>
        <v>Grape - Mars (Seedless)</v>
      </c>
      <c r="C88" s="42" t="str">
        <f ca="1">'Fruit Trees'!C82</f>
        <v>#5</v>
      </c>
      <c r="D88" s="42" t="str">
        <f ca="1">'Fruit Trees'!D82</f>
        <v>Vine</v>
      </c>
      <c r="E88" s="42" t="str">
        <f ca="1">'Fruit Trees'!E82</f>
        <v>4-5'</v>
      </c>
      <c r="F88" s="52">
        <f ca="1">'Fruit Trees'!F82</f>
        <v>32</v>
      </c>
      <c r="G88" s="53">
        <f ca="1">'Fruit Trees'!G82*0.9</f>
        <v>33.300000000000004</v>
      </c>
      <c r="H88" s="51" t="str">
        <f t="shared" ca="1" si="0"/>
        <v>Grape - Mars (Seedless) #5-2021</v>
      </c>
      <c r="I88" s="69"/>
      <c r="J88" s="55">
        <f t="shared" ca="1" si="1"/>
        <v>0</v>
      </c>
      <c r="K88" s="55"/>
    </row>
    <row r="89" spans="2:11" ht="12.75" hidden="1" x14ac:dyDescent="0.2">
      <c r="B89" s="51" t="str">
        <f ca="1">'Fruit Trees'!A83</f>
        <v>Grape - Reliance Red (Seedless)</v>
      </c>
      <c r="C89" s="42" t="str">
        <f ca="1">'Fruit Trees'!C83</f>
        <v>#5</v>
      </c>
      <c r="D89" s="42" t="str">
        <f ca="1">'Fruit Trees'!D83</f>
        <v>Vine</v>
      </c>
      <c r="E89" s="42" t="str">
        <f ca="1">'Fruit Trees'!E83</f>
        <v>3-5'</v>
      </c>
      <c r="F89" s="52">
        <f ca="1">'Fruit Trees'!F83</f>
        <v>34</v>
      </c>
      <c r="G89" s="53">
        <f ca="1">'Fruit Trees'!G83*0.9</f>
        <v>33.300000000000004</v>
      </c>
      <c r="H89" s="51" t="str">
        <f t="shared" ca="1" si="0"/>
        <v>Grape - Reliance Red (Seedless) #5-2021</v>
      </c>
      <c r="I89" s="69"/>
      <c r="J89" s="55">
        <f t="shared" ca="1" si="1"/>
        <v>0</v>
      </c>
      <c r="K89" s="55"/>
    </row>
    <row r="90" spans="2:11" ht="12.75" hidden="1" x14ac:dyDescent="0.2">
      <c r="B90" s="51" t="str">
        <f ca="1">'Fruit Trees'!A84</f>
        <v>Grape- Himrod (Seedless)</v>
      </c>
      <c r="C90" s="42" t="str">
        <f ca="1">'Fruit Trees'!C84</f>
        <v>#5</v>
      </c>
      <c r="D90" s="42" t="str">
        <f ca="1">'Fruit Trees'!D84</f>
        <v>Vine</v>
      </c>
      <c r="E90" s="42" t="str">
        <f ca="1">'Fruit Trees'!E84</f>
        <v>3-4'</v>
      </c>
      <c r="F90" s="52">
        <f ca="1">'Fruit Trees'!F84</f>
        <v>32</v>
      </c>
      <c r="G90" s="53">
        <f ca="1">'Fruit Trees'!G84*0.9</f>
        <v>33.300000000000004</v>
      </c>
      <c r="H90" s="51" t="str">
        <f t="shared" ca="1" si="0"/>
        <v>Grape- Himrod (Seedless) #5-2021</v>
      </c>
      <c r="I90" s="69"/>
      <c r="J90" s="55">
        <f t="shared" ca="1" si="1"/>
        <v>0</v>
      </c>
      <c r="K90" s="55"/>
    </row>
    <row r="91" spans="2:11" ht="12.75" hidden="1" x14ac:dyDescent="0.2">
      <c r="B91" s="51" t="str">
        <f ca="1">'Fruit Trees'!A85</f>
        <v>Hazelnut - Jefferson</v>
      </c>
      <c r="C91" s="42" t="str">
        <f ca="1">'Fruit Trees'!C85</f>
        <v>#15</v>
      </c>
      <c r="D91" s="42" t="str">
        <f ca="1">'Fruit Trees'!D85</f>
        <v>1-1.25"</v>
      </c>
      <c r="E91" s="42" t="str">
        <f ca="1">'Fruit Trees'!E85</f>
        <v>7-9'</v>
      </c>
      <c r="F91" s="52">
        <f ca="1">'Fruit Trees'!F85</f>
        <v>12</v>
      </c>
      <c r="G91" s="53">
        <f ca="1">'Fruit Trees'!G85*0.9</f>
        <v>121.5</v>
      </c>
      <c r="H91" s="51" t="str">
        <f t="shared" ca="1" si="0"/>
        <v>Hazelnut - Jefferson #15-2021</v>
      </c>
      <c r="I91" s="69"/>
      <c r="J91" s="55">
        <f t="shared" ca="1" si="1"/>
        <v>0</v>
      </c>
      <c r="K91" s="55"/>
    </row>
    <row r="92" spans="2:11" ht="12.75" hidden="1" x14ac:dyDescent="0.2">
      <c r="B92" s="51" t="str">
        <f ca="1">'Fruit Trees'!A86</f>
        <v xml:space="preserve">Hazelnut - McDonald </v>
      </c>
      <c r="C92" s="42" t="str">
        <f ca="1">'Fruit Trees'!C86</f>
        <v>#15</v>
      </c>
      <c r="D92" s="42" t="str">
        <f ca="1">'Fruit Trees'!D86</f>
        <v>1.25-1.5"</v>
      </c>
      <c r="E92" s="42" t="str">
        <f ca="1">'Fruit Trees'!E86</f>
        <v>9-10'</v>
      </c>
      <c r="F92" s="52">
        <f ca="1">'Fruit Trees'!F86</f>
        <v>18</v>
      </c>
      <c r="G92" s="53">
        <f ca="1">'Fruit Trees'!G86*0.9</f>
        <v>121.5</v>
      </c>
      <c r="H92" s="51" t="str">
        <f t="shared" ca="1" si="0"/>
        <v>Hazelnut - McDonald  #15-2021</v>
      </c>
      <c r="I92" s="69"/>
      <c r="J92" s="55">
        <f t="shared" ca="1" si="1"/>
        <v>0</v>
      </c>
      <c r="K92" s="55"/>
    </row>
    <row r="93" spans="2:11" ht="12.75" hidden="1" x14ac:dyDescent="0.2">
      <c r="B93" s="51" t="str">
        <f ca="1">'Fruit Trees'!A87</f>
        <v xml:space="preserve">Hazelnut - Wepster </v>
      </c>
      <c r="C93" s="42" t="str">
        <f ca="1">'Fruit Trees'!C87</f>
        <v>#15</v>
      </c>
      <c r="D93" s="42" t="str">
        <f ca="1">'Fruit Trees'!D87</f>
        <v>0.75-1"</v>
      </c>
      <c r="E93" s="42" t="str">
        <f ca="1">'Fruit Trees'!E87</f>
        <v>5-7'</v>
      </c>
      <c r="F93" s="52">
        <f ca="1">'Fruit Trees'!F87</f>
        <v>16</v>
      </c>
      <c r="G93" s="53">
        <f ca="1">'Fruit Trees'!G87*0.9</f>
        <v>121.5</v>
      </c>
      <c r="H93" s="51" t="str">
        <f t="shared" ca="1" si="0"/>
        <v>Hazelnut - Wepster  #15-2021</v>
      </c>
      <c r="I93" s="69"/>
      <c r="J93" s="55">
        <f t="shared" ca="1" si="1"/>
        <v>0</v>
      </c>
      <c r="K93" s="55"/>
    </row>
    <row r="94" spans="2:11" ht="12.75" hidden="1" x14ac:dyDescent="0.2">
      <c r="B94" s="51" t="str">
        <f ca="1">'Fruit Trees'!A88</f>
        <v>Jujube - GA 866</v>
      </c>
      <c r="C94" s="42" t="str">
        <f ca="1">'Fruit Trees'!C88</f>
        <v>#5</v>
      </c>
      <c r="D94" s="42" t="str">
        <f ca="1">'Fruit Trees'!D88</f>
        <v>0.75-1"</v>
      </c>
      <c r="E94" s="42" t="str">
        <f ca="1">'Fruit Trees'!E88</f>
        <v>4.5-10'</v>
      </c>
      <c r="F94" s="52">
        <f ca="1">'Fruit Trees'!F88</f>
        <v>212</v>
      </c>
      <c r="G94" s="53">
        <f ca="1">'Fruit Trees'!G88*0.9</f>
        <v>90</v>
      </c>
      <c r="H94" s="51" t="str">
        <f t="shared" ca="1" si="0"/>
        <v>Jujube - GA 866 #5-2021</v>
      </c>
      <c r="I94" s="69"/>
      <c r="J94" s="55">
        <f t="shared" ca="1" si="1"/>
        <v>0</v>
      </c>
      <c r="K94" s="55"/>
    </row>
    <row r="95" spans="2:11" ht="12.75" hidden="1" x14ac:dyDescent="0.2">
      <c r="B95" s="51" t="str">
        <f ca="1">'Fruit Trees'!A89</f>
        <v>Jujube - GA 866</v>
      </c>
      <c r="C95" s="42" t="str">
        <f ca="1">'Fruit Trees'!C89</f>
        <v>#7</v>
      </c>
      <c r="D95" s="42" t="str">
        <f ca="1">'Fruit Trees'!D89</f>
        <v>0.75-1"</v>
      </c>
      <c r="E95" s="42" t="str">
        <f ca="1">'Fruit Trees'!E89</f>
        <v>7-10'</v>
      </c>
      <c r="F95" s="52">
        <f ca="1">'Fruit Trees'!F89</f>
        <v>13</v>
      </c>
      <c r="G95" s="53">
        <f ca="1">'Fruit Trees'!G89*0.9</f>
        <v>90</v>
      </c>
      <c r="H95" s="51" t="str">
        <f t="shared" ca="1" si="0"/>
        <v>Jujube - GA 866 #7-2021</v>
      </c>
      <c r="I95" s="69"/>
      <c r="J95" s="55">
        <f t="shared" ca="1" si="1"/>
        <v>0</v>
      </c>
      <c r="K95" s="55"/>
    </row>
    <row r="96" spans="2:11" ht="12.75" x14ac:dyDescent="0.2">
      <c r="B96" s="51" t="str">
        <f ca="1">'Fruit Trees'!A90</f>
        <v>Jujube - Honey Jar</v>
      </c>
      <c r="C96" s="42" t="str">
        <f ca="1">'Fruit Trees'!C90</f>
        <v>#5</v>
      </c>
      <c r="D96" s="42" t="str">
        <f ca="1">'Fruit Trees'!D90</f>
        <v>0.5-0.75"</v>
      </c>
      <c r="E96" s="42" t="str">
        <f ca="1">'Fruit Trees'!E90</f>
        <v>4-5'</v>
      </c>
      <c r="F96" s="52">
        <f ca="1">'Fruit Trees'!F90</f>
        <v>19</v>
      </c>
      <c r="G96" s="68">
        <f ca="1">'Fruit Trees'!G90*0.9</f>
        <v>90</v>
      </c>
      <c r="H96" s="51" t="str">
        <f t="shared" ca="1" si="0"/>
        <v>Jujube - Honey Jar #5-2021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Trees'!A91</f>
        <v>Jujube - Lang</v>
      </c>
      <c r="C97" s="42" t="str">
        <f ca="1">'Fruit Trees'!C91</f>
        <v>#5</v>
      </c>
      <c r="D97" s="42" t="str">
        <f ca="1">'Fruit Trees'!D91</f>
        <v>0.5-1"</v>
      </c>
      <c r="E97" s="42" t="str">
        <f ca="1">'Fruit Trees'!E91</f>
        <v>4.5-8'</v>
      </c>
      <c r="F97" s="52">
        <f ca="1">'Fruit Trees'!F91</f>
        <v>59</v>
      </c>
      <c r="G97" s="68">
        <f ca="1">'Fruit Trees'!G91*0.9</f>
        <v>90</v>
      </c>
      <c r="H97" s="51" t="str">
        <f t="shared" ca="1" si="0"/>
        <v>Jujube - Lang #5-2021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Trees'!A92</f>
        <v>Jujube - Lang</v>
      </c>
      <c r="C98" s="42" t="str">
        <f ca="1">'Fruit Trees'!C92</f>
        <v>#7</v>
      </c>
      <c r="D98" s="42" t="str">
        <f ca="1">'Fruit Trees'!D92</f>
        <v>1-1"</v>
      </c>
      <c r="E98" s="42" t="str">
        <f ca="1">'Fruit Trees'!E92</f>
        <v>8-9'</v>
      </c>
      <c r="F98" s="52">
        <f ca="1">'Fruit Trees'!F92</f>
        <v>3</v>
      </c>
      <c r="G98" s="68">
        <f ca="1">'Fruit Trees'!G92*0.9</f>
        <v>90</v>
      </c>
      <c r="H98" s="51" t="str">
        <f t="shared" ca="1" si="0"/>
        <v>Jujube - Lang #7-2021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Trees'!A93</f>
        <v>Jujube - Li</v>
      </c>
      <c r="C99" s="42" t="str">
        <f ca="1">'Fruit Trees'!C93</f>
        <v>#5</v>
      </c>
      <c r="D99" s="42" t="str">
        <f ca="1">'Fruit Trees'!D93</f>
        <v>0.5-1"</v>
      </c>
      <c r="E99" s="42" t="str">
        <f ca="1">'Fruit Trees'!E93</f>
        <v>4-9'</v>
      </c>
      <c r="F99" s="52">
        <f ca="1">'Fruit Trees'!F93</f>
        <v>203</v>
      </c>
      <c r="G99" s="68">
        <f ca="1">'Fruit Trees'!G93*0.9</f>
        <v>90</v>
      </c>
      <c r="H99" s="51" t="str">
        <f t="shared" ca="1" si="0"/>
        <v>Jujube - Li #5-2021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Trees'!A94</f>
        <v>Jujube - Li</v>
      </c>
      <c r="C100" s="42" t="str">
        <f ca="1">'Fruit Trees'!C94</f>
        <v>#7</v>
      </c>
      <c r="D100" s="42" t="str">
        <f ca="1">'Fruit Trees'!D94</f>
        <v>0.75-1"</v>
      </c>
      <c r="E100" s="42" t="str">
        <f ca="1">'Fruit Trees'!E94</f>
        <v>7-11'</v>
      </c>
      <c r="F100" s="52">
        <f ca="1">'Fruit Trees'!F94</f>
        <v>4</v>
      </c>
      <c r="G100" s="68">
        <f ca="1">'Fruit Trees'!G94*0.9</f>
        <v>90</v>
      </c>
      <c r="H100" s="51" t="str">
        <f t="shared" ca="1" si="0"/>
        <v>Jujube - Li #7-2021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Trees'!A95</f>
        <v>Jujube - Sugar Cane</v>
      </c>
      <c r="C101" s="42" t="str">
        <f ca="1">'Fruit Trees'!C95</f>
        <v>#5</v>
      </c>
      <c r="D101" s="42" t="str">
        <f ca="1">'Fruit Trees'!D95</f>
        <v>0.5-1"</v>
      </c>
      <c r="E101" s="42" t="str">
        <f ca="1">'Fruit Trees'!E95</f>
        <v>4-8'</v>
      </c>
      <c r="F101" s="52">
        <f ca="1">'Fruit Trees'!F95</f>
        <v>194</v>
      </c>
      <c r="G101" s="68">
        <f ca="1">'Fruit Trees'!G95*0.9</f>
        <v>90</v>
      </c>
      <c r="H101" s="51" t="str">
        <f t="shared" ca="1" si="0"/>
        <v>Jujube - Sugar Cane #5-2021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Trees'!A96</f>
        <v>Jujube - Sugar Cane</v>
      </c>
      <c r="C102" s="42" t="str">
        <f ca="1">'Fruit Trees'!C96</f>
        <v>#7</v>
      </c>
      <c r="D102" s="42" t="str">
        <f ca="1">'Fruit Trees'!D96</f>
        <v>0.75-1"</v>
      </c>
      <c r="E102" s="42" t="str">
        <f ca="1">'Fruit Trees'!E96</f>
        <v>7-8'</v>
      </c>
      <c r="F102" s="52">
        <f ca="1">'Fruit Trees'!F96</f>
        <v>5</v>
      </c>
      <c r="G102" s="68">
        <f ca="1">'Fruit Trees'!G96*0.9</f>
        <v>90</v>
      </c>
      <c r="H102" s="51" t="str">
        <f t="shared" ca="1" si="0"/>
        <v>Jujube - Sugar Cane #7-2021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Trees'!A97</f>
        <v>Mulberry - Everbearing</v>
      </c>
      <c r="C103" s="42" t="str">
        <f ca="1">'Fruit Trees'!C97</f>
        <v>#5</v>
      </c>
      <c r="D103" s="42" t="str">
        <f ca="1">'Fruit Trees'!D97</f>
        <v>Multi</v>
      </c>
      <c r="E103" s="42" t="str">
        <f ca="1">'Fruit Trees'!E97</f>
        <v>1-3'</v>
      </c>
      <c r="F103" s="52">
        <f ca="1">'Fruit Trees'!F97</f>
        <v>55</v>
      </c>
      <c r="G103" s="68">
        <f ca="1">'Fruit Trees'!G97*0.9</f>
        <v>45</v>
      </c>
      <c r="H103" s="51" t="str">
        <f t="shared" ca="1" si="0"/>
        <v>Mulberry - Everbearing #5-2021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Trees'!A98</f>
        <v>Mulberry - Red</v>
      </c>
      <c r="C104" s="42" t="str">
        <f ca="1">'Fruit Trees'!C98</f>
        <v>#5</v>
      </c>
      <c r="D104" s="42" t="str">
        <f ca="1">'Fruit Trees'!D98</f>
        <v>0.5-1.5"</v>
      </c>
      <c r="E104" s="42" t="str">
        <f ca="1">'Fruit Trees'!E98</f>
        <v>4-9'</v>
      </c>
      <c r="F104" s="52">
        <f ca="1">'Fruit Trees'!F98</f>
        <v>43</v>
      </c>
      <c r="G104" s="68">
        <f ca="1">'Fruit Trees'!G98*0.9</f>
        <v>45</v>
      </c>
      <c r="H104" s="51" t="str">
        <f t="shared" ca="1" si="0"/>
        <v>Mulberry - Red #5-2021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Trees'!A99</f>
        <v>Nectarine - Flavortop</v>
      </c>
      <c r="C105" s="42" t="str">
        <f ca="1">'Fruit Trees'!C99</f>
        <v>#5</v>
      </c>
      <c r="D105" s="42" t="str">
        <f ca="1">'Fruit Trees'!D99</f>
        <v>1-1.25"</v>
      </c>
      <c r="E105" s="42" t="str">
        <f ca="1">'Fruit Trees'!E99</f>
        <v>6-8'</v>
      </c>
      <c r="F105" s="52">
        <f ca="1">'Fruit Trees'!F99</f>
        <v>10</v>
      </c>
      <c r="G105" s="68">
        <f ca="1">'Fruit Trees'!G99*0.9</f>
        <v>49.5</v>
      </c>
      <c r="H105" s="51" t="str">
        <f t="shared" ca="1" si="0"/>
        <v>Nectarine - Flavortop #5-2021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Trees'!A100</f>
        <v>Nectarine - Independence</v>
      </c>
      <c r="C106" s="42" t="str">
        <f ca="1">'Fruit Trees'!C100</f>
        <v>#5</v>
      </c>
      <c r="D106" s="42" t="str">
        <f ca="1">'Fruit Trees'!D100</f>
        <v>1-1"</v>
      </c>
      <c r="E106" s="42" t="str">
        <f ca="1">'Fruit Trees'!E100</f>
        <v>5-7'</v>
      </c>
      <c r="F106" s="52">
        <f ca="1">'Fruit Trees'!F100</f>
        <v>36</v>
      </c>
      <c r="G106" s="68">
        <f ca="1">'Fruit Trees'!G100*0.9</f>
        <v>49.5</v>
      </c>
      <c r="H106" s="51" t="str">
        <f t="shared" ca="1" si="0"/>
        <v>Nectarine - Independence #5-2021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Trees'!A101</f>
        <v>Nectarine - Redgold</v>
      </c>
      <c r="C107" s="42" t="str">
        <f ca="1">'Fruit Trees'!C101</f>
        <v>#5</v>
      </c>
      <c r="D107" s="42" t="str">
        <f ca="1">'Fruit Trees'!D101</f>
        <v>0.75-1"</v>
      </c>
      <c r="E107" s="42" t="str">
        <f ca="1">'Fruit Trees'!E101</f>
        <v>4-6'</v>
      </c>
      <c r="F107" s="52">
        <f ca="1">'Fruit Trees'!F101</f>
        <v>35</v>
      </c>
      <c r="G107" s="68">
        <f ca="1">'Fruit Trees'!G101*0.9</f>
        <v>49.5</v>
      </c>
      <c r="H107" s="51" t="str">
        <f t="shared" ca="1" si="0"/>
        <v>Nectarine - Redgold #5-2021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Trees'!A102</f>
        <v>Nectarine (White) - Arctic Glo</v>
      </c>
      <c r="C108" s="42" t="str">
        <f ca="1">'Fruit Trees'!C102</f>
        <v>#5</v>
      </c>
      <c r="D108" s="42" t="str">
        <f ca="1">'Fruit Trees'!D102</f>
        <v>0.75-1"</v>
      </c>
      <c r="E108" s="42" t="str">
        <f ca="1">'Fruit Trees'!E102</f>
        <v>4-6.5'</v>
      </c>
      <c r="F108" s="52">
        <f ca="1">'Fruit Trees'!F102</f>
        <v>109</v>
      </c>
      <c r="G108" s="68">
        <f ca="1">'Fruit Trees'!G102*0.9</f>
        <v>49.5</v>
      </c>
      <c r="H108" s="51" t="str">
        <f t="shared" ca="1" si="0"/>
        <v>Nectarine (White) - Arctic Glo #5-2021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Trees'!A103</f>
        <v>Nectarine (White) - Arctic Glo</v>
      </c>
      <c r="C109" s="42" t="str">
        <f ca="1">'Fruit Trees'!C103</f>
        <v>#7</v>
      </c>
      <c r="D109" s="42" t="str">
        <f ca="1">'Fruit Trees'!D103</f>
        <v>0.75-1.5"</v>
      </c>
      <c r="E109" s="42" t="str">
        <f ca="1">'Fruit Trees'!E103</f>
        <v>4-9'</v>
      </c>
      <c r="F109" s="52">
        <f ca="1">'Fruit Trees'!F103</f>
        <v>12</v>
      </c>
      <c r="G109" s="68">
        <f ca="1">'Fruit Trees'!G103*0.9</f>
        <v>72</v>
      </c>
      <c r="H109" s="51" t="str">
        <f t="shared" ca="1" si="0"/>
        <v>Nectarine (White) - Arctic Glo #7-2021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Trees'!A104</f>
        <v>Nectarine (White) - Arctic Sweet</v>
      </c>
      <c r="C110" s="42" t="str">
        <f ca="1">'Fruit Trees'!C104</f>
        <v>#7</v>
      </c>
      <c r="D110" s="42" t="str">
        <f ca="1">'Fruit Trees'!D104</f>
        <v>1.25-1.5"</v>
      </c>
      <c r="E110" s="42" t="str">
        <f ca="1">'Fruit Trees'!E104</f>
        <v>9-10'</v>
      </c>
      <c r="F110" s="52">
        <f ca="1">'Fruit Trees'!F104</f>
        <v>15</v>
      </c>
      <c r="G110" s="68">
        <f ca="1">'Fruit Trees'!G104*0.9</f>
        <v>72</v>
      </c>
      <c r="H110" s="51" t="str">
        <f t="shared" ca="1" si="0"/>
        <v>Nectarine (White) - Arctic Sweet #7-2021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Trees'!A105</f>
        <v>Pawpaw</v>
      </c>
      <c r="C111" s="42" t="str">
        <f ca="1">'Fruit Trees'!C105</f>
        <v>#5</v>
      </c>
      <c r="D111" s="42" t="str">
        <f ca="1">'Fruit Trees'!D105</f>
        <v>0.25-0.5"</v>
      </c>
      <c r="E111" s="42" t="str">
        <f ca="1">'Fruit Trees'!E105</f>
        <v>1-4'</v>
      </c>
      <c r="F111" s="52">
        <f ca="1">'Fruit Trees'!F105</f>
        <v>178</v>
      </c>
      <c r="G111" s="68">
        <f ca="1">'Fruit Trees'!G105*0.9</f>
        <v>45</v>
      </c>
      <c r="H111" s="51" t="str">
        <f t="shared" ca="1" si="0"/>
        <v>Pawpaw #5-2021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Trees'!A106</f>
        <v>Pawpaw</v>
      </c>
      <c r="C112" s="42" t="str">
        <f ca="1">'Fruit Trees'!C106</f>
        <v>#10</v>
      </c>
      <c r="D112" s="42" t="str">
        <f ca="1">'Fruit Trees'!D106</f>
        <v>Multi</v>
      </c>
      <c r="E112" s="42" t="str">
        <f ca="1">'Fruit Trees'!E106</f>
        <v>4-4'</v>
      </c>
      <c r="F112" s="52">
        <f ca="1">'Fruit Trees'!F106</f>
        <v>1</v>
      </c>
      <c r="G112" s="68">
        <f ca="1">'Fruit Trees'!G106</f>
        <v>100</v>
      </c>
      <c r="H112" s="51" t="str">
        <f t="shared" ca="1" si="0"/>
        <v>Pawpaw #10-2021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Trees'!A107</f>
        <v>Pawpaw - Allegheny</v>
      </c>
      <c r="C113" s="42" t="str">
        <f ca="1">'Fruit Trees'!C107</f>
        <v>#5</v>
      </c>
      <c r="D113" s="42" t="str">
        <f ca="1">'Fruit Trees'!D107</f>
        <v>0.25-0.5"</v>
      </c>
      <c r="E113" s="42" t="str">
        <f ca="1">'Fruit Trees'!E107</f>
        <v>2-3'</v>
      </c>
      <c r="F113" s="52">
        <f ca="1">'Fruit Trees'!F107</f>
        <v>51</v>
      </c>
      <c r="G113" s="68">
        <f ca="1">'Fruit Trees'!G107</f>
        <v>100</v>
      </c>
      <c r="H113" s="51" t="str">
        <f t="shared" ca="1" si="0"/>
        <v>Pawpaw - Allegheny #5-2021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Trees'!A108</f>
        <v>Pawpaw - Mango</v>
      </c>
      <c r="C114" s="42" t="str">
        <f ca="1">'Fruit Trees'!C108</f>
        <v>#5</v>
      </c>
      <c r="D114" s="42" t="str">
        <f ca="1">'Fruit Trees'!D108</f>
        <v>0.25-0.5"</v>
      </c>
      <c r="E114" s="42" t="str">
        <f ca="1">'Fruit Trees'!E108</f>
        <v>2-2.5'</v>
      </c>
      <c r="F114" s="52">
        <f ca="1">'Fruit Trees'!F108</f>
        <v>66</v>
      </c>
      <c r="G114" s="68">
        <f ca="1">'Fruit Trees'!G108</f>
        <v>100</v>
      </c>
      <c r="H114" s="51" t="str">
        <f t="shared" ca="1" si="0"/>
        <v>Pawpaw - Mango #5-2021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Trees'!A109</f>
        <v>Pawpaw - NC-1</v>
      </c>
      <c r="C115" s="42" t="str">
        <f ca="1">'Fruit Trees'!C109</f>
        <v>#5</v>
      </c>
      <c r="D115" s="42" t="str">
        <f ca="1">'Fruit Trees'!D109</f>
        <v>0.25-0.5"</v>
      </c>
      <c r="E115" s="42" t="str">
        <f ca="1">'Fruit Trees'!E109</f>
        <v>2-3.5'</v>
      </c>
      <c r="F115" s="52">
        <f ca="1">'Fruit Trees'!F109</f>
        <v>54</v>
      </c>
      <c r="G115" s="68">
        <f ca="1">'Fruit Trees'!G109</f>
        <v>100</v>
      </c>
      <c r="H115" s="51" t="str">
        <f t="shared" ca="1" si="0"/>
        <v>Pawpaw - NC-1 #5-2021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Trees'!A110</f>
        <v>Pawpaw - Potomac</v>
      </c>
      <c r="C116" s="42" t="str">
        <f ca="1">'Fruit Trees'!C110</f>
        <v>#5</v>
      </c>
      <c r="D116" s="42" t="str">
        <f ca="1">'Fruit Trees'!D110</f>
        <v>0.25-0.5"</v>
      </c>
      <c r="E116" s="42" t="str">
        <f ca="1">'Fruit Trees'!E110</f>
        <v>1-3'</v>
      </c>
      <c r="F116" s="52">
        <f ca="1">'Fruit Trees'!F110</f>
        <v>62</v>
      </c>
      <c r="G116" s="68">
        <f ca="1">'Fruit Trees'!G110</f>
        <v>100</v>
      </c>
      <c r="H116" s="51" t="str">
        <f t="shared" ca="1" si="0"/>
        <v>Pawpaw - Potomac #5-2021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Trees'!A111</f>
        <v>Pawpaw - Shenandoah</v>
      </c>
      <c r="C117" s="42" t="str">
        <f ca="1">'Fruit Trees'!C111</f>
        <v>#5</v>
      </c>
      <c r="D117" s="42" t="str">
        <f ca="1">'Fruit Trees'!D111</f>
        <v>0.25-0.5"</v>
      </c>
      <c r="E117" s="42" t="str">
        <f ca="1">'Fruit Trees'!E111</f>
        <v>1-2'</v>
      </c>
      <c r="F117" s="52">
        <f ca="1">'Fruit Trees'!F111</f>
        <v>60</v>
      </c>
      <c r="G117" s="68">
        <f ca="1">'Fruit Trees'!G111</f>
        <v>100</v>
      </c>
      <c r="H117" s="51" t="str">
        <f t="shared" ca="1" si="0"/>
        <v>Pawpaw - Shenandoah #5-2021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Trees'!A112</f>
        <v>Pawpaw - Susquehanna</v>
      </c>
      <c r="C118" s="42" t="str">
        <f ca="1">'Fruit Trees'!C112</f>
        <v>#5</v>
      </c>
      <c r="D118" s="42" t="str">
        <f ca="1">'Fruit Trees'!D112</f>
        <v>0.5-0.5"</v>
      </c>
      <c r="E118" s="42" t="str">
        <f ca="1">'Fruit Trees'!E112</f>
        <v>1.5-2.5'</v>
      </c>
      <c r="F118" s="52">
        <f ca="1">'Fruit Trees'!F112</f>
        <v>62</v>
      </c>
      <c r="G118" s="68">
        <f ca="1">'Fruit Trees'!G112</f>
        <v>100</v>
      </c>
      <c r="H118" s="51" t="str">
        <f t="shared" ca="1" si="0"/>
        <v>Pawpaw - Susquehanna #5-2021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Trees'!A113</f>
        <v>Pawpaw - Wabash</v>
      </c>
      <c r="C119" s="42" t="str">
        <f ca="1">'Fruit Trees'!C113</f>
        <v>#5</v>
      </c>
      <c r="D119" s="42" t="str">
        <f ca="1">'Fruit Trees'!D113</f>
        <v>0.25-0.5"</v>
      </c>
      <c r="E119" s="42" t="str">
        <f ca="1">'Fruit Trees'!E113</f>
        <v>1-3'</v>
      </c>
      <c r="F119" s="52">
        <f ca="1">'Fruit Trees'!F113</f>
        <v>11</v>
      </c>
      <c r="G119" s="68">
        <f ca="1">'Fruit Trees'!G113</f>
        <v>100</v>
      </c>
      <c r="H119" s="51" t="str">
        <f t="shared" ca="1" si="0"/>
        <v>Pawpaw - Wabash #5-2021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Trees'!A114</f>
        <v>Peach - Contender</v>
      </c>
      <c r="C120" s="42" t="str">
        <f ca="1">'Fruit Trees'!C114</f>
        <v>#5</v>
      </c>
      <c r="D120" s="42" t="str">
        <f ca="1">'Fruit Trees'!D114</f>
        <v>0.75-1"</v>
      </c>
      <c r="E120" s="42" t="str">
        <f ca="1">'Fruit Trees'!E114</f>
        <v>4-6'</v>
      </c>
      <c r="F120" s="52">
        <f ca="1">'Fruit Trees'!F114</f>
        <v>73</v>
      </c>
      <c r="G120" s="68">
        <f ca="1">'Fruit Trees'!G114</f>
        <v>55</v>
      </c>
      <c r="H120" s="51" t="str">
        <f t="shared" ca="1" si="0"/>
        <v>Peach - Contender #5-2021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Trees'!A115</f>
        <v>Peach - Cresthaven</v>
      </c>
      <c r="C121" s="42" t="str">
        <f ca="1">'Fruit Trees'!C115</f>
        <v>#5</v>
      </c>
      <c r="D121" s="42" t="str">
        <f ca="1">'Fruit Trees'!D115</f>
        <v>0.75-0.75"</v>
      </c>
      <c r="E121" s="42" t="str">
        <f ca="1">'Fruit Trees'!E115</f>
        <v>4-4'</v>
      </c>
      <c r="F121" s="52">
        <f ca="1">'Fruit Trees'!F115</f>
        <v>1</v>
      </c>
      <c r="G121" s="68">
        <f ca="1">'Fruit Trees'!G115</f>
        <v>55</v>
      </c>
      <c r="H121" s="51" t="str">
        <f t="shared" ca="1" si="0"/>
        <v>Peach - Cresthaven #5-2021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Trees'!A116</f>
        <v>Peach - Elberta</v>
      </c>
      <c r="C122" s="42" t="str">
        <f ca="1">'Fruit Trees'!C116</f>
        <v>#5</v>
      </c>
      <c r="D122" s="42" t="str">
        <f ca="1">'Fruit Trees'!D116</f>
        <v>0.5-1.25"</v>
      </c>
      <c r="E122" s="42" t="str">
        <f ca="1">'Fruit Trees'!E116</f>
        <v>3.5-6'</v>
      </c>
      <c r="F122" s="52">
        <f ca="1">'Fruit Trees'!F116</f>
        <v>67</v>
      </c>
      <c r="G122" s="68">
        <f ca="1">'Fruit Trees'!G116</f>
        <v>55</v>
      </c>
      <c r="H122" s="51" t="str">
        <f t="shared" ca="1" si="0"/>
        <v>Peach - Elberta #5-2021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Trees'!A117</f>
        <v>Peach - Harvester</v>
      </c>
      <c r="C123" s="42" t="str">
        <f ca="1">'Fruit Trees'!C117</f>
        <v>#5</v>
      </c>
      <c r="D123" s="42" t="str">
        <f ca="1">'Fruit Trees'!D117</f>
        <v>0.75-1.25"</v>
      </c>
      <c r="E123" s="42" t="str">
        <f ca="1">'Fruit Trees'!E117</f>
        <v>4-8'</v>
      </c>
      <c r="F123" s="52">
        <f ca="1">'Fruit Trees'!F117</f>
        <v>59</v>
      </c>
      <c r="G123" s="68">
        <f ca="1">'Fruit Trees'!G117</f>
        <v>55</v>
      </c>
      <c r="H123" s="51" t="str">
        <f t="shared" ca="1" si="0"/>
        <v>Peach - Harvester #5-2021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Trees'!A118</f>
        <v>Peach - Redhaven</v>
      </c>
      <c r="C124" s="42" t="str">
        <f ca="1">'Fruit Trees'!C118</f>
        <v>#5</v>
      </c>
      <c r="D124" s="42" t="str">
        <f ca="1">'Fruit Trees'!D118</f>
        <v>0.75-1"</v>
      </c>
      <c r="E124" s="42" t="str">
        <f ca="1">'Fruit Trees'!E118</f>
        <v>4-7'</v>
      </c>
      <c r="F124" s="52">
        <f ca="1">'Fruit Trees'!F118</f>
        <v>70</v>
      </c>
      <c r="G124" s="68">
        <f ca="1">'Fruit Trees'!G118*0.9</f>
        <v>49.5</v>
      </c>
      <c r="H124" s="51" t="str">
        <f t="shared" ca="1" si="0"/>
        <v>Peach - Redhaven #5-2021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Trees'!A119</f>
        <v>Peach - Redskin</v>
      </c>
      <c r="C125" s="42" t="str">
        <f ca="1">'Fruit Trees'!C119</f>
        <v>#5</v>
      </c>
      <c r="D125" s="42" t="str">
        <f ca="1">'Fruit Trees'!D119</f>
        <v>0.75-1"</v>
      </c>
      <c r="E125" s="42" t="str">
        <f ca="1">'Fruit Trees'!E119</f>
        <v>4-6'</v>
      </c>
      <c r="F125" s="52">
        <f ca="1">'Fruit Trees'!F119</f>
        <v>5</v>
      </c>
      <c r="G125" s="68">
        <f ca="1">'Fruit Trees'!G119*0.9</f>
        <v>49.5</v>
      </c>
      <c r="H125" s="51" t="str">
        <f t="shared" ca="1" si="0"/>
        <v>Peach - Redskin #5-2021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Trees'!A120</f>
        <v>Peach - Sugar May</v>
      </c>
      <c r="C126" s="42" t="str">
        <f ca="1">'Fruit Trees'!C120</f>
        <v>#5</v>
      </c>
      <c r="D126" s="42" t="str">
        <f ca="1">'Fruit Trees'!D120</f>
        <v>0.5-0.75"</v>
      </c>
      <c r="E126" s="42" t="str">
        <f ca="1">'Fruit Trees'!E120</f>
        <v>4-4'</v>
      </c>
      <c r="F126" s="52">
        <f ca="1">'Fruit Trees'!F120</f>
        <v>3</v>
      </c>
      <c r="G126" s="68">
        <f ca="1">'Fruit Trees'!G120*0.9</f>
        <v>49.5</v>
      </c>
      <c r="H126" s="51" t="str">
        <f t="shared" ca="1" si="0"/>
        <v>Peach - Sugar May #5-2021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Trees'!A121</f>
        <v>Peach (Donut White) - Galaxy</v>
      </c>
      <c r="C127" s="42" t="str">
        <f ca="1">'Fruit Trees'!C121</f>
        <v>#5</v>
      </c>
      <c r="D127" s="42" t="str">
        <f ca="1">'Fruit Trees'!D121</f>
        <v>0.5-1.25"</v>
      </c>
      <c r="E127" s="42" t="str">
        <f ca="1">'Fruit Trees'!E121</f>
        <v>4-7'</v>
      </c>
      <c r="F127" s="52">
        <f ca="1">'Fruit Trees'!F121</f>
        <v>72</v>
      </c>
      <c r="G127" s="68">
        <f ca="1">'Fruit Trees'!G121*0.9</f>
        <v>49.5</v>
      </c>
      <c r="H127" s="51" t="str">
        <f t="shared" ca="1" si="0"/>
        <v>Peach (Donut White) - Galaxy #5-2021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Trees'!A122</f>
        <v>Peach (Donut White) - Saturn</v>
      </c>
      <c r="C128" s="42" t="str">
        <f ca="1">'Fruit Trees'!C122</f>
        <v>#5</v>
      </c>
      <c r="D128" s="42" t="str">
        <f ca="1">'Fruit Trees'!D122</f>
        <v>0.5-1"</v>
      </c>
      <c r="E128" s="42" t="str">
        <f ca="1">'Fruit Trees'!E122</f>
        <v>4-7.5'</v>
      </c>
      <c r="F128" s="52">
        <f ca="1">'Fruit Trees'!F122</f>
        <v>125</v>
      </c>
      <c r="G128" s="68">
        <f ca="1">'Fruit Trees'!G122*0.9</f>
        <v>49.5</v>
      </c>
      <c r="H128" s="51" t="str">
        <f t="shared" ca="1" si="0"/>
        <v>Peach (Donut White) - Saturn #5-2021</v>
      </c>
      <c r="I128" s="54"/>
      <c r="J128" s="55">
        <f t="shared" ca="1" si="1"/>
        <v>0</v>
      </c>
      <c r="K128" s="55"/>
    </row>
    <row r="129" spans="1:11" ht="12.75" x14ac:dyDescent="0.2">
      <c r="B129" s="51" t="str">
        <f ca="1">'Fruit Trees'!A123</f>
        <v>Peach (White) - Giant Babcock</v>
      </c>
      <c r="C129" s="42" t="str">
        <f ca="1">'Fruit Trees'!C123</f>
        <v>#5</v>
      </c>
      <c r="D129" s="42" t="str">
        <f ca="1">'Fruit Trees'!D123</f>
        <v>0.75-1"</v>
      </c>
      <c r="E129" s="42" t="str">
        <f ca="1">'Fruit Trees'!E123</f>
        <v>5-6.5'</v>
      </c>
      <c r="F129" s="52">
        <f ca="1">'Fruit Trees'!F123</f>
        <v>18</v>
      </c>
      <c r="G129" s="68">
        <f ca="1">'Fruit Trees'!G123*0.9</f>
        <v>49.5</v>
      </c>
      <c r="H129" s="51" t="str">
        <f t="shared" ca="1" si="0"/>
        <v>Peach (White) - Giant Babcock #5-2021</v>
      </c>
      <c r="I129" s="54"/>
      <c r="J129" s="55">
        <f t="shared" ca="1" si="1"/>
        <v>0</v>
      </c>
      <c r="K129" s="55"/>
    </row>
    <row r="130" spans="1:11" ht="12.75" x14ac:dyDescent="0.2">
      <c r="B130" s="51" t="str">
        <f ca="1">'Fruit Trees'!A124</f>
        <v>Peach (White) - Snow Giant</v>
      </c>
      <c r="C130" s="42" t="str">
        <f ca="1">'Fruit Trees'!C124</f>
        <v>#5</v>
      </c>
      <c r="D130" s="42" t="str">
        <f ca="1">'Fruit Trees'!D124</f>
        <v>0.25-1"</v>
      </c>
      <c r="E130" s="42" t="str">
        <f ca="1">'Fruit Trees'!E124</f>
        <v>3-6'</v>
      </c>
      <c r="F130" s="52">
        <f ca="1">'Fruit Trees'!F124</f>
        <v>91</v>
      </c>
      <c r="G130" s="68">
        <f ca="1">'Fruit Trees'!G124*0.9</f>
        <v>49.5</v>
      </c>
      <c r="H130" s="51" t="str">
        <f t="shared" ca="1" si="0"/>
        <v>Peach (White) - Snow Giant #5-2021</v>
      </c>
      <c r="I130" s="54"/>
      <c r="J130" s="55">
        <f t="shared" ca="1" si="1"/>
        <v>0</v>
      </c>
      <c r="K130" s="55"/>
    </row>
    <row r="131" spans="1:11" ht="12.75" x14ac:dyDescent="0.2">
      <c r="B131" s="51" t="str">
        <f ca="1">'Fruit Trees'!A125</f>
        <v>Peach (White) - Sugar Giant</v>
      </c>
      <c r="C131" s="42" t="str">
        <f ca="1">'Fruit Trees'!C125</f>
        <v>#5</v>
      </c>
      <c r="D131" s="42" t="str">
        <f ca="1">'Fruit Trees'!D125</f>
        <v>0.5-1"</v>
      </c>
      <c r="E131" s="42" t="str">
        <f ca="1">'Fruit Trees'!E125</f>
        <v>4-7'</v>
      </c>
      <c r="F131" s="52">
        <f ca="1">'Fruit Trees'!F125</f>
        <v>64</v>
      </c>
      <c r="G131" s="68">
        <f ca="1">'Fruit Trees'!G125*0.9</f>
        <v>49.5</v>
      </c>
      <c r="H131" s="51" t="str">
        <f t="shared" ca="1" si="0"/>
        <v>Peach (White) - Sugar Giant #5-2021</v>
      </c>
      <c r="I131" s="54"/>
      <c r="J131" s="55">
        <f t="shared" ca="1" si="1"/>
        <v>0</v>
      </c>
      <c r="K131" s="55"/>
    </row>
    <row r="132" spans="1:11" ht="12.75" x14ac:dyDescent="0.2">
      <c r="B132" s="51" t="str">
        <f ca="1">'Fruit Trees'!A126</f>
        <v>Peach (White) - White Lady</v>
      </c>
      <c r="C132" s="42" t="str">
        <f ca="1">'Fruit Trees'!C126</f>
        <v>#5</v>
      </c>
      <c r="D132" s="42" t="str">
        <f ca="1">'Fruit Trees'!D126</f>
        <v>0.5-1.25"</v>
      </c>
      <c r="E132" s="42" t="str">
        <f ca="1">'Fruit Trees'!E126</f>
        <v>4-7'</v>
      </c>
      <c r="F132" s="52">
        <f ca="1">'Fruit Trees'!F126</f>
        <v>171</v>
      </c>
      <c r="G132" s="68">
        <f ca="1">'Fruit Trees'!G126*0.9</f>
        <v>49.5</v>
      </c>
      <c r="H132" s="51" t="str">
        <f t="shared" ca="1" si="0"/>
        <v>Peach (White) - White Lady #5-2021</v>
      </c>
      <c r="I132" s="54"/>
      <c r="J132" s="55">
        <f t="shared" ca="1" si="1"/>
        <v>0</v>
      </c>
      <c r="K132" s="55"/>
    </row>
    <row r="133" spans="1:11" ht="12.75" x14ac:dyDescent="0.2">
      <c r="B133" s="51" t="str">
        <f ca="1">'Fruit Trees'!A127</f>
        <v>Pear - Ayers</v>
      </c>
      <c r="C133" s="42" t="str">
        <f ca="1">'Fruit Trees'!C127</f>
        <v>#5</v>
      </c>
      <c r="D133" s="42" t="str">
        <f ca="1">'Fruit Trees'!D127</f>
        <v>0.75-1.5"</v>
      </c>
      <c r="E133" s="42" t="str">
        <f ca="1">'Fruit Trees'!E127</f>
        <v>7-10'</v>
      </c>
      <c r="F133" s="52">
        <f ca="1">'Fruit Trees'!F127</f>
        <v>118</v>
      </c>
      <c r="G133" s="68">
        <f ca="1">'Fruit Trees'!G127*0.9</f>
        <v>49.5</v>
      </c>
      <c r="H133" s="51" t="str">
        <f t="shared" ca="1" si="0"/>
        <v>Pear - Ayers #5-2021</v>
      </c>
      <c r="I133" s="54"/>
      <c r="J133" s="55">
        <f t="shared" ca="1" si="1"/>
        <v>0</v>
      </c>
      <c r="K133" s="55"/>
    </row>
    <row r="134" spans="1:11" ht="12.75" x14ac:dyDescent="0.2">
      <c r="B134" s="51" t="str">
        <f ca="1">'Fruit Trees'!A128</f>
        <v>Pear - Ayers</v>
      </c>
      <c r="C134" s="42" t="str">
        <f ca="1">'Fruit Trees'!C128</f>
        <v>#7</v>
      </c>
      <c r="D134" s="42" t="str">
        <f ca="1">'Fruit Trees'!D128</f>
        <v>1-1.25"</v>
      </c>
      <c r="E134" s="42" t="str">
        <f ca="1">'Fruit Trees'!E128</f>
        <v>10-13'</v>
      </c>
      <c r="F134" s="52">
        <f ca="1">'Fruit Trees'!F128</f>
        <v>5</v>
      </c>
      <c r="G134" s="68">
        <f ca="1">'Fruit Trees'!G128*0.9</f>
        <v>72</v>
      </c>
      <c r="H134" s="51" t="str">
        <f t="shared" ca="1" si="0"/>
        <v>Pear - Ayers #7-2021</v>
      </c>
      <c r="I134" s="54"/>
      <c r="J134" s="55">
        <f t="shared" ca="1" si="1"/>
        <v>0</v>
      </c>
      <c r="K134" s="55"/>
    </row>
    <row r="135" spans="1:11" ht="12.75" x14ac:dyDescent="0.2">
      <c r="B135" s="51" t="str">
        <f ca="1">'Fruit Trees'!A129</f>
        <v>Pear - Bartlett</v>
      </c>
      <c r="C135" s="42" t="str">
        <f ca="1">'Fruit Trees'!C129</f>
        <v>#5</v>
      </c>
      <c r="D135" s="42" t="str">
        <f ca="1">'Fruit Trees'!D129</f>
        <v>0.5-1.25"</v>
      </c>
      <c r="E135" s="42" t="str">
        <f ca="1">'Fruit Trees'!E129</f>
        <v>5-10'</v>
      </c>
      <c r="F135" s="52">
        <f ca="1">'Fruit Trees'!F129</f>
        <v>228</v>
      </c>
      <c r="G135" s="68">
        <f ca="1">'Fruit Trees'!G129*0.9</f>
        <v>49.5</v>
      </c>
      <c r="H135" s="51" t="str">
        <f t="shared" ca="1" si="0"/>
        <v>Pear - Bartlett #5-2021</v>
      </c>
      <c r="I135" s="54"/>
      <c r="J135" s="55">
        <f t="shared" ca="1" si="1"/>
        <v>0</v>
      </c>
      <c r="K135" s="55"/>
    </row>
    <row r="136" spans="1:11" ht="12.75" x14ac:dyDescent="0.2">
      <c r="B136" s="51" t="str">
        <f ca="1">'Fruit Trees'!A130</f>
        <v>Pear - Bartlett</v>
      </c>
      <c r="C136" s="42" t="str">
        <f ca="1">'Fruit Trees'!C130</f>
        <v>#7</v>
      </c>
      <c r="D136" s="42" t="str">
        <f ca="1">'Fruit Trees'!D130</f>
        <v>1-1.75"</v>
      </c>
      <c r="E136" s="42" t="str">
        <f ca="1">'Fruit Trees'!E130</f>
        <v>6.5-11'</v>
      </c>
      <c r="F136" s="52">
        <f ca="1">'Fruit Trees'!F130</f>
        <v>162</v>
      </c>
      <c r="G136" s="68">
        <f ca="1">'Fruit Trees'!G130*0.9</f>
        <v>72</v>
      </c>
      <c r="H136" s="51" t="str">
        <f t="shared" ca="1" si="0"/>
        <v>Pear - Bartlett #7-2021</v>
      </c>
      <c r="I136" s="54"/>
      <c r="J136" s="55">
        <f t="shared" ca="1" si="1"/>
        <v>0</v>
      </c>
      <c r="K136" s="55"/>
    </row>
    <row r="137" spans="1:11" ht="12.75" x14ac:dyDescent="0.2">
      <c r="B137" s="51" t="str">
        <f ca="1">'Fruit Trees'!A131</f>
        <v>Pear - Bartlett</v>
      </c>
      <c r="C137" s="42" t="str">
        <f ca="1">'Fruit Trees'!C131</f>
        <v>#10</v>
      </c>
      <c r="D137" s="42" t="str">
        <f ca="1">'Fruit Trees'!D131</f>
        <v>1-1.25"</v>
      </c>
      <c r="E137" s="42" t="str">
        <f ca="1">'Fruit Trees'!E131</f>
        <v>7-9'</v>
      </c>
      <c r="F137" s="52">
        <f ca="1">'Fruit Trees'!F131</f>
        <v>19</v>
      </c>
      <c r="G137" s="68">
        <f ca="1">'Fruit Trees'!G131*0.9</f>
        <v>90</v>
      </c>
      <c r="H137" s="51" t="str">
        <f t="shared" ca="1" si="0"/>
        <v>Pear - Bartlett #10-2021</v>
      </c>
      <c r="I137" s="54"/>
      <c r="J137" s="55">
        <f t="shared" ca="1" si="1"/>
        <v>0</v>
      </c>
      <c r="K137" s="55"/>
    </row>
    <row r="138" spans="1:11" ht="12.75" x14ac:dyDescent="0.2">
      <c r="B138" s="51" t="str">
        <f ca="1">'Fruit Trees'!A132</f>
        <v>Pear - Golden Russet Bosc</v>
      </c>
      <c r="C138" s="42" t="str">
        <f ca="1">'Fruit Trees'!C132</f>
        <v>#5</v>
      </c>
      <c r="D138" s="42" t="str">
        <f ca="1">'Fruit Trees'!D132</f>
        <v>1-1.25"</v>
      </c>
      <c r="E138" s="42" t="str">
        <f ca="1">'Fruit Trees'!E132</f>
        <v>7-10'</v>
      </c>
      <c r="F138" s="52">
        <f ca="1">'Fruit Trees'!F132</f>
        <v>2</v>
      </c>
      <c r="G138" s="68">
        <f ca="1">'Fruit Trees'!G132*0.9</f>
        <v>49.5</v>
      </c>
      <c r="H138" s="51" t="str">
        <f t="shared" ca="1" si="0"/>
        <v>Pear - Golden Russet Bosc #5-2021</v>
      </c>
      <c r="I138" s="54"/>
      <c r="J138" s="55">
        <f t="shared" ca="1" si="1"/>
        <v>0</v>
      </c>
      <c r="K138" s="55"/>
    </row>
    <row r="139" spans="1:11" ht="12.75" x14ac:dyDescent="0.2">
      <c r="B139" s="51" t="str">
        <f ca="1">'Fruit Trees'!A133</f>
        <v>Pear - Golden Russet Bosc</v>
      </c>
      <c r="C139" s="42" t="str">
        <f ca="1">'Fruit Trees'!C133</f>
        <v>#7</v>
      </c>
      <c r="D139" s="42" t="str">
        <f ca="1">'Fruit Trees'!D133</f>
        <v>0.75-1.25"</v>
      </c>
      <c r="E139" s="42" t="str">
        <f ca="1">'Fruit Trees'!E133</f>
        <v>6-11'</v>
      </c>
      <c r="F139" s="52">
        <f ca="1">'Fruit Trees'!F133</f>
        <v>25</v>
      </c>
      <c r="G139" s="68">
        <f ca="1">'Fruit Trees'!G133*0.9</f>
        <v>72</v>
      </c>
      <c r="H139" s="51" t="str">
        <f t="shared" ca="1" si="0"/>
        <v>Pear - Golden Russet Bosc #7-2021</v>
      </c>
      <c r="I139" s="54"/>
      <c r="J139" s="55">
        <f t="shared" ca="1" si="1"/>
        <v>0</v>
      </c>
      <c r="K139" s="55"/>
    </row>
    <row r="140" spans="1:11" ht="12.75" x14ac:dyDescent="0.2">
      <c r="B140" s="51" t="str">
        <f ca="1">'Fruit Trees'!A134</f>
        <v>Pear - Harrowsweet</v>
      </c>
      <c r="C140" s="42" t="str">
        <f ca="1">'Fruit Trees'!C134</f>
        <v>#5</v>
      </c>
      <c r="D140" s="42" t="str">
        <f ca="1">'Fruit Trees'!D134</f>
        <v>0.5-1"</v>
      </c>
      <c r="E140" s="42" t="str">
        <f ca="1">'Fruit Trees'!E134</f>
        <v>6-8'</v>
      </c>
      <c r="F140" s="52">
        <f ca="1">'Fruit Trees'!F134</f>
        <v>44</v>
      </c>
      <c r="G140" s="68">
        <f ca="1">'Fruit Trees'!G134*0.9</f>
        <v>49.5</v>
      </c>
      <c r="H140" s="51" t="str">
        <f t="shared" ca="1" si="0"/>
        <v>Pear - Harrowsweet #5-2021</v>
      </c>
      <c r="I140" s="54"/>
      <c r="J140" s="55">
        <f t="shared" ca="1" si="1"/>
        <v>0</v>
      </c>
      <c r="K140" s="55"/>
    </row>
    <row r="141" spans="1:11" ht="12.75" x14ac:dyDescent="0.2">
      <c r="B141" s="51" t="str">
        <f ca="1">'Fruit Trees'!A135</f>
        <v>Pear - Harrowsweet</v>
      </c>
      <c r="C141" s="42" t="str">
        <f ca="1">'Fruit Trees'!C135</f>
        <v>#7</v>
      </c>
      <c r="D141" s="42" t="str">
        <f ca="1">'Fruit Trees'!D135</f>
        <v>1-1.25"</v>
      </c>
      <c r="E141" s="42" t="str">
        <f ca="1">'Fruit Trees'!E135</f>
        <v>7-10'</v>
      </c>
      <c r="F141" s="52">
        <f ca="1">'Fruit Trees'!F135</f>
        <v>52</v>
      </c>
      <c r="G141" s="68">
        <f ca="1">'Fruit Trees'!G135*0.9</f>
        <v>72</v>
      </c>
      <c r="H141" s="51" t="str">
        <f t="shared" ca="1" si="0"/>
        <v>Pear - Harrowsweet #7-2021</v>
      </c>
      <c r="I141" s="54"/>
      <c r="J141" s="55">
        <f t="shared" ca="1" si="1"/>
        <v>0</v>
      </c>
      <c r="K141" s="55"/>
    </row>
    <row r="142" spans="1:11" ht="12.75" x14ac:dyDescent="0.2">
      <c r="B142" s="51" t="str">
        <f ca="1">'Fruit Trees'!A136</f>
        <v>Pear - Kieffer</v>
      </c>
      <c r="C142" s="42" t="str">
        <f ca="1">'Fruit Trees'!C136</f>
        <v>#5</v>
      </c>
      <c r="D142" s="42" t="str">
        <f ca="1">'Fruit Trees'!D136</f>
        <v>1-1.25"</v>
      </c>
      <c r="E142" s="42" t="str">
        <f ca="1">'Fruit Trees'!E136</f>
        <v>6-12'</v>
      </c>
      <c r="F142" s="52">
        <f ca="1">'Fruit Trees'!F136</f>
        <v>58</v>
      </c>
      <c r="G142" s="68">
        <f ca="1">'Fruit Trees'!G136*0.9</f>
        <v>49.5</v>
      </c>
      <c r="H142" s="51" t="str">
        <f t="shared" ca="1" si="0"/>
        <v>Pear - Kieffer #5-2021</v>
      </c>
      <c r="I142" s="54"/>
      <c r="J142" s="55">
        <f t="shared" ca="1" si="1"/>
        <v>0</v>
      </c>
      <c r="K142" s="55"/>
    </row>
    <row r="143" spans="1:11" ht="12.75" x14ac:dyDescent="0.2">
      <c r="B143" s="51" t="str">
        <f ca="1">'Fruit Trees'!A137</f>
        <v>Pear - Kieffer</v>
      </c>
      <c r="C143" s="42" t="str">
        <f ca="1">'Fruit Trees'!C137</f>
        <v>#15</v>
      </c>
      <c r="D143" s="42" t="str">
        <f ca="1">'Fruit Trees'!D137</f>
        <v>1.5-1.75"</v>
      </c>
      <c r="E143" s="42" t="str">
        <f ca="1">'Fruit Trees'!E137</f>
        <v>11-12'</v>
      </c>
      <c r="F143" s="52">
        <f ca="1">'Fruit Trees'!F137</f>
        <v>3</v>
      </c>
      <c r="G143" s="68">
        <f ca="1">'Fruit Trees'!G137*0.9</f>
        <v>135</v>
      </c>
      <c r="H143" s="51" t="str">
        <f t="shared" ca="1" si="0"/>
        <v>Pear - Kieffer #15-2021</v>
      </c>
      <c r="I143" s="54"/>
      <c r="J143" s="55">
        <f t="shared" ca="1" si="1"/>
        <v>0</v>
      </c>
      <c r="K143" s="55"/>
    </row>
    <row r="144" spans="1:11" ht="45" x14ac:dyDescent="0.6">
      <c r="A144" s="34"/>
      <c r="B144" s="51" t="str">
        <f ca="1">'Fruit Trees'!A138</f>
        <v>Pear - Kieffer</v>
      </c>
      <c r="C144" s="42" t="str">
        <f ca="1">'Fruit Trees'!C138</f>
        <v>#7</v>
      </c>
      <c r="D144" s="42" t="str">
        <f ca="1">'Fruit Trees'!D138</f>
        <v>1-1.5"</v>
      </c>
      <c r="E144" s="42" t="str">
        <f ca="1">'Fruit Trees'!E138</f>
        <v>8-12'</v>
      </c>
      <c r="F144" s="52">
        <f ca="1">'Fruit Trees'!F138</f>
        <v>35</v>
      </c>
      <c r="G144" s="68">
        <f ca="1">'Fruit Trees'!G138*0.9</f>
        <v>72</v>
      </c>
      <c r="H144" s="51" t="str">
        <f t="shared" ca="1" si="0"/>
        <v>Pear - Kieffer #7-2021</v>
      </c>
      <c r="I144" s="54"/>
      <c r="J144" s="55">
        <f t="shared" ca="1" si="1"/>
        <v>0</v>
      </c>
      <c r="K144" s="55"/>
    </row>
    <row r="145" spans="1:11" ht="45" x14ac:dyDescent="0.6">
      <c r="A145" s="34"/>
      <c r="B145" s="51" t="str">
        <f ca="1">'Fruit Trees'!A139</f>
        <v>Pear - Kieffer</v>
      </c>
      <c r="C145" s="42" t="str">
        <f ca="1">'Fruit Trees'!C139</f>
        <v>#10</v>
      </c>
      <c r="D145" s="42" t="str">
        <f ca="1">'Fruit Trees'!D139</f>
        <v>1.25-1.5"</v>
      </c>
      <c r="E145" s="42" t="str">
        <f ca="1">'Fruit Trees'!E139</f>
        <v>8-10'</v>
      </c>
      <c r="F145" s="52">
        <f ca="1">'Fruit Trees'!F139</f>
        <v>1</v>
      </c>
      <c r="G145" s="68">
        <f ca="1">'Fruit Trees'!G139*0.9</f>
        <v>90</v>
      </c>
      <c r="H145" s="51" t="str">
        <f t="shared" ca="1" si="0"/>
        <v>Pear - Kieffer #10-2021</v>
      </c>
      <c r="I145" s="54"/>
      <c r="J145" s="55">
        <f t="shared" ca="1" si="1"/>
        <v>0</v>
      </c>
      <c r="K145" s="55"/>
    </row>
    <row r="146" spans="1:11" ht="45" x14ac:dyDescent="0.6">
      <c r="A146" s="34"/>
      <c r="B146" s="51" t="str">
        <f ca="1">'Fruit Trees'!A140</f>
        <v>Pear - Moonglow</v>
      </c>
      <c r="C146" s="42" t="str">
        <f ca="1">'Fruit Trees'!C140</f>
        <v>#5</v>
      </c>
      <c r="D146" s="42" t="str">
        <f ca="1">'Fruit Trees'!D140</f>
        <v>0.75-1"</v>
      </c>
      <c r="E146" s="42" t="str">
        <f ca="1">'Fruit Trees'!E140</f>
        <v>5-10'</v>
      </c>
      <c r="F146" s="52">
        <f ca="1">'Fruit Trees'!F140</f>
        <v>244</v>
      </c>
      <c r="G146" s="68">
        <f ca="1">'Fruit Trees'!G140*0.9</f>
        <v>49.5</v>
      </c>
      <c r="H146" s="51" t="str">
        <f t="shared" ca="1" si="0"/>
        <v>Pear - Moonglow #5-2021</v>
      </c>
      <c r="I146" s="54"/>
      <c r="J146" s="55">
        <f t="shared" ca="1" si="1"/>
        <v>0</v>
      </c>
      <c r="K146" s="55"/>
    </row>
    <row r="147" spans="1:11" ht="45" x14ac:dyDescent="0.6">
      <c r="A147" s="34"/>
      <c r="B147" s="51" t="str">
        <f ca="1">'Fruit Trees'!A141</f>
        <v>Pear - Moonglow</v>
      </c>
      <c r="C147" s="42" t="str">
        <f ca="1">'Fruit Trees'!C141</f>
        <v>#7</v>
      </c>
      <c r="D147" s="42" t="str">
        <f ca="1">'Fruit Trees'!D141</f>
        <v>0.75-1.5"</v>
      </c>
      <c r="E147" s="42" t="str">
        <f ca="1">'Fruit Trees'!E141</f>
        <v>6-10'</v>
      </c>
      <c r="F147" s="52">
        <f ca="1">'Fruit Trees'!F141</f>
        <v>31</v>
      </c>
      <c r="G147" s="68">
        <f ca="1">'Fruit Trees'!G141*0.9</f>
        <v>72</v>
      </c>
      <c r="H147" s="51" t="str">
        <f t="shared" ca="1" si="0"/>
        <v>Pear - Moonglow #7-2021</v>
      </c>
      <c r="I147" s="54"/>
      <c r="J147" s="55">
        <f t="shared" ca="1" si="1"/>
        <v>0</v>
      </c>
      <c r="K147" s="55"/>
    </row>
    <row r="148" spans="1:11" ht="45" x14ac:dyDescent="0.6">
      <c r="A148" s="34"/>
      <c r="B148" s="51" t="str">
        <f ca="1">'Fruit Trees'!A142</f>
        <v>Pear - Moonglow</v>
      </c>
      <c r="C148" s="42" t="str">
        <f ca="1">'Fruit Trees'!C142</f>
        <v>#10</v>
      </c>
      <c r="D148" s="42" t="str">
        <f ca="1">'Fruit Trees'!D142</f>
        <v>1.5-1.75"</v>
      </c>
      <c r="E148" s="42" t="str">
        <f ca="1">'Fruit Trees'!E142</f>
        <v>8.5-10'</v>
      </c>
      <c r="F148" s="52">
        <f ca="1">'Fruit Trees'!F142</f>
        <v>15</v>
      </c>
      <c r="G148" s="68">
        <f ca="1">'Fruit Trees'!G142*0.9</f>
        <v>90</v>
      </c>
      <c r="H148" s="51" t="str">
        <f t="shared" ca="1" si="0"/>
        <v>Pear - Moonglow #10-2021</v>
      </c>
      <c r="I148" s="54"/>
      <c r="J148" s="55">
        <f t="shared" ca="1" si="1"/>
        <v>0</v>
      </c>
      <c r="K148" s="55"/>
    </row>
    <row r="149" spans="1:11" ht="45" x14ac:dyDescent="0.6">
      <c r="A149" s="34"/>
      <c r="B149" s="51" t="str">
        <f ca="1">'Fruit Trees'!A143</f>
        <v>Pear - Potomac</v>
      </c>
      <c r="C149" s="42" t="str">
        <f ca="1">'Fruit Trees'!C143</f>
        <v>#7</v>
      </c>
      <c r="D149" s="42" t="str">
        <f ca="1">'Fruit Trees'!D143</f>
        <v>1-1.25"</v>
      </c>
      <c r="E149" s="42" t="str">
        <f ca="1">'Fruit Trees'!E143</f>
        <v>7-10'</v>
      </c>
      <c r="F149" s="52">
        <f ca="1">'Fruit Trees'!F143</f>
        <v>21</v>
      </c>
      <c r="G149" s="68">
        <f ca="1">'Fruit Trees'!G143*0.9</f>
        <v>72</v>
      </c>
      <c r="H149" s="51" t="str">
        <f t="shared" ca="1" si="0"/>
        <v>Pear - Potomac #7-2021</v>
      </c>
      <c r="I149" s="54"/>
      <c r="J149" s="55">
        <f t="shared" ca="1" si="1"/>
        <v>0</v>
      </c>
      <c r="K149" s="55"/>
    </row>
    <row r="150" spans="1:11" ht="45" x14ac:dyDescent="0.6">
      <c r="A150" s="34"/>
      <c r="B150" s="51" t="str">
        <f ca="1">'Fruit Trees'!A144</f>
        <v>Persimmon - Fuyu</v>
      </c>
      <c r="C150" s="42" t="str">
        <f ca="1">'Fruit Trees'!C144</f>
        <v>#5</v>
      </c>
      <c r="D150" s="42" t="str">
        <f ca="1">'Fruit Trees'!D144</f>
        <v>0.5-1"</v>
      </c>
      <c r="E150" s="42" t="str">
        <f ca="1">'Fruit Trees'!E144</f>
        <v>4-8'</v>
      </c>
      <c r="F150" s="52">
        <f ca="1">'Fruit Trees'!F144</f>
        <v>204</v>
      </c>
      <c r="G150" s="68">
        <f ca="1">'Fruit Trees'!G144*0.9</f>
        <v>90</v>
      </c>
      <c r="H150" s="51" t="str">
        <f t="shared" ca="1" si="0"/>
        <v>Persimmon - Fuyu #5-2021</v>
      </c>
      <c r="I150" s="54"/>
      <c r="J150" s="55">
        <f t="shared" ca="1" si="1"/>
        <v>0</v>
      </c>
      <c r="K150" s="55"/>
    </row>
    <row r="151" spans="1:11" ht="45" x14ac:dyDescent="0.6">
      <c r="A151" s="34"/>
      <c r="B151" s="51" t="str">
        <f ca="1">'Fruit Trees'!A145</f>
        <v>Persimmon - Fuyu</v>
      </c>
      <c r="C151" s="42" t="str">
        <f ca="1">'Fruit Trees'!C145</f>
        <v>#7</v>
      </c>
      <c r="D151" s="42" t="str">
        <f ca="1">'Fruit Trees'!D145</f>
        <v>0.5-0.75"</v>
      </c>
      <c r="E151" s="42" t="str">
        <f ca="1">'Fruit Trees'!E145</f>
        <v>3-5'</v>
      </c>
      <c r="F151" s="52">
        <f ca="1">'Fruit Trees'!F145</f>
        <v>1</v>
      </c>
      <c r="G151" s="68">
        <f ca="1">'Fruit Trees'!G145*0.9</f>
        <v>90</v>
      </c>
      <c r="H151" s="51" t="str">
        <f t="shared" ca="1" si="0"/>
        <v>Persimmon - Fuyu #7-2021</v>
      </c>
      <c r="I151" s="54"/>
      <c r="J151" s="55">
        <f t="shared" ca="1" si="1"/>
        <v>0</v>
      </c>
      <c r="K151" s="55"/>
    </row>
    <row r="152" spans="1:11" ht="45" x14ac:dyDescent="0.6">
      <c r="A152" s="34"/>
      <c r="B152" s="51" t="str">
        <f ca="1">'Fruit Trees'!A146</f>
        <v>Persimmon - Giant Fuyu</v>
      </c>
      <c r="C152" s="42" t="str">
        <f ca="1">'Fruit Trees'!C146</f>
        <v>#5</v>
      </c>
      <c r="D152" s="42" t="str">
        <f ca="1">'Fruit Trees'!D146</f>
        <v>0.5-1"</v>
      </c>
      <c r="E152" s="42" t="str">
        <f ca="1">'Fruit Trees'!E146</f>
        <v>4-7'</v>
      </c>
      <c r="F152" s="52">
        <f ca="1">'Fruit Trees'!F146</f>
        <v>29</v>
      </c>
      <c r="G152" s="68">
        <f ca="1">'Fruit Trees'!G146*0.9</f>
        <v>90</v>
      </c>
      <c r="H152" s="51" t="str">
        <f t="shared" ca="1" si="0"/>
        <v>Persimmon - Giant Fuyu #5-2021</v>
      </c>
      <c r="I152" s="54"/>
      <c r="J152" s="55">
        <f t="shared" ca="1" si="1"/>
        <v>0</v>
      </c>
      <c r="K152" s="55"/>
    </row>
    <row r="153" spans="1:11" ht="45" x14ac:dyDescent="0.6">
      <c r="A153" s="34"/>
      <c r="B153" s="51" t="str">
        <f ca="1">'Fruit Trees'!A147</f>
        <v>Persimmon - Hachiya</v>
      </c>
      <c r="C153" s="42" t="str">
        <f ca="1">'Fruit Trees'!C147</f>
        <v>#5</v>
      </c>
      <c r="D153" s="42" t="str">
        <f ca="1">'Fruit Trees'!D147</f>
        <v>0.75-1"</v>
      </c>
      <c r="E153" s="42" t="str">
        <f ca="1">'Fruit Trees'!E147</f>
        <v>5-6'</v>
      </c>
      <c r="F153" s="52">
        <f ca="1">'Fruit Trees'!F147</f>
        <v>21</v>
      </c>
      <c r="G153" s="68">
        <f ca="1">'Fruit Trees'!G147*0.9</f>
        <v>90</v>
      </c>
      <c r="H153" s="51" t="str">
        <f t="shared" ca="1" si="0"/>
        <v>Persimmon - Hachiya #5-2021</v>
      </c>
      <c r="I153" s="54"/>
      <c r="J153" s="55">
        <f t="shared" ca="1" si="1"/>
        <v>0</v>
      </c>
      <c r="K153" s="55"/>
    </row>
    <row r="154" spans="1:11" ht="45" x14ac:dyDescent="0.6">
      <c r="A154" s="34"/>
      <c r="B154" s="51" t="str">
        <f ca="1">'Fruit Trees'!A148</f>
        <v>Persimmon - Lotus</v>
      </c>
      <c r="C154" s="42" t="str">
        <f ca="1">'Fruit Trees'!C148</f>
        <v>#5</v>
      </c>
      <c r="D154" s="42" t="str">
        <f ca="1">'Fruit Trees'!D148</f>
        <v>0.25-1"</v>
      </c>
      <c r="E154" s="42" t="str">
        <f ca="1">'Fruit Trees'!E148</f>
        <v>5-8'</v>
      </c>
      <c r="F154" s="52">
        <f ca="1">'Fruit Trees'!F148</f>
        <v>35</v>
      </c>
      <c r="G154" s="68">
        <f ca="1">'Fruit Trees'!G148*0.9</f>
        <v>45</v>
      </c>
      <c r="H154" s="51" t="str">
        <f t="shared" ca="1" si="0"/>
        <v>Persimmon - Lotus #5-2021</v>
      </c>
      <c r="I154" s="54"/>
      <c r="J154" s="55">
        <f t="shared" ca="1" si="1"/>
        <v>0</v>
      </c>
      <c r="K154" s="55"/>
    </row>
    <row r="155" spans="1:11" ht="45" x14ac:dyDescent="0.6">
      <c r="A155" s="34"/>
      <c r="B155" s="51" t="str">
        <f ca="1">'Fruit Trees'!A149</f>
        <v>Persimmon - Rosseyanka</v>
      </c>
      <c r="C155" s="42" t="str">
        <f ca="1">'Fruit Trees'!C149</f>
        <v>#7</v>
      </c>
      <c r="D155" s="42" t="str">
        <f ca="1">'Fruit Trees'!D149</f>
        <v>0.25-1"</v>
      </c>
      <c r="E155" s="42" t="str">
        <f ca="1">'Fruit Trees'!E149</f>
        <v>4-6.5'</v>
      </c>
      <c r="F155" s="52">
        <f ca="1">'Fruit Trees'!F149</f>
        <v>16</v>
      </c>
      <c r="G155" s="68">
        <f ca="1">'Fruit Trees'!G149*0.9</f>
        <v>90</v>
      </c>
      <c r="H155" s="51" t="str">
        <f t="shared" ca="1" si="0"/>
        <v>Persimmon - Rosseyanka #7-2021</v>
      </c>
      <c r="I155" s="54"/>
      <c r="J155" s="55">
        <f t="shared" ca="1" si="1"/>
        <v>0</v>
      </c>
      <c r="K155" s="55"/>
    </row>
    <row r="156" spans="1:11" ht="45" x14ac:dyDescent="0.6">
      <c r="A156" s="34"/>
      <c r="B156" s="51" t="str">
        <f ca="1">'Fruit Trees'!A150</f>
        <v>Plum - Green Gage</v>
      </c>
      <c r="C156" s="42" t="str">
        <f ca="1">'Fruit Trees'!C150</f>
        <v>#7</v>
      </c>
      <c r="D156" s="42" t="str">
        <f ca="1">'Fruit Trees'!D150</f>
        <v>1-1.5"</v>
      </c>
      <c r="E156" s="42" t="str">
        <f ca="1">'Fruit Trees'!E150</f>
        <v>10-12'</v>
      </c>
      <c r="F156" s="52">
        <f ca="1">'Fruit Trees'!F150</f>
        <v>46</v>
      </c>
      <c r="G156" s="68">
        <f ca="1">'Fruit Trees'!G150*0.9</f>
        <v>72</v>
      </c>
      <c r="H156" s="51" t="str">
        <f t="shared" ca="1" si="0"/>
        <v>Plum - Green Gage #7-2021</v>
      </c>
      <c r="I156" s="54"/>
      <c r="J156" s="55">
        <f t="shared" ca="1" si="1"/>
        <v>0</v>
      </c>
      <c r="K156" s="55"/>
    </row>
    <row r="157" spans="1:11" ht="45" x14ac:dyDescent="0.6">
      <c r="A157" s="34"/>
      <c r="B157" s="51" t="str">
        <f ca="1">'Fruit Trees'!A151</f>
        <v>Plum - NY9</v>
      </c>
      <c r="C157" s="42" t="str">
        <f ca="1">'Fruit Trees'!C151</f>
        <v>#5</v>
      </c>
      <c r="D157" s="42" t="str">
        <f ca="1">'Fruit Trees'!D151</f>
        <v>0.5-1"</v>
      </c>
      <c r="E157" s="42" t="str">
        <f ca="1">'Fruit Trees'!E151</f>
        <v>7-9'</v>
      </c>
      <c r="F157" s="52">
        <f ca="1">'Fruit Trees'!F151</f>
        <v>53</v>
      </c>
      <c r="G157" s="68">
        <f ca="1">'Fruit Trees'!G151*0.9</f>
        <v>72</v>
      </c>
      <c r="H157" s="51" t="str">
        <f t="shared" ca="1" si="0"/>
        <v>Plum - NY9 #5-2021</v>
      </c>
      <c r="I157" s="54"/>
      <c r="J157" s="55">
        <f t="shared" ca="1" si="1"/>
        <v>0</v>
      </c>
      <c r="K157" s="55"/>
    </row>
    <row r="158" spans="1:11" ht="45" x14ac:dyDescent="0.6">
      <c r="A158" s="34"/>
      <c r="B158" s="51" t="str">
        <f ca="1">'Fruit Trees'!A152</f>
        <v>Plum - NY9</v>
      </c>
      <c r="C158" s="42" t="str">
        <f ca="1">'Fruit Trees'!C152</f>
        <v>#7</v>
      </c>
      <c r="D158" s="42" t="str">
        <f ca="1">'Fruit Trees'!D152</f>
        <v>0.5-1.25"</v>
      </c>
      <c r="E158" s="42" t="str">
        <f ca="1">'Fruit Trees'!E152</f>
        <v>7-9.5'</v>
      </c>
      <c r="F158" s="52">
        <f ca="1">'Fruit Trees'!F152</f>
        <v>20</v>
      </c>
      <c r="G158" s="68">
        <f ca="1">'Fruit Trees'!G152*0.9</f>
        <v>72</v>
      </c>
      <c r="H158" s="51" t="str">
        <f t="shared" ca="1" si="0"/>
        <v>Plum - NY9 #7-2021</v>
      </c>
      <c r="I158" s="54"/>
      <c r="J158" s="55">
        <f t="shared" ca="1" si="1"/>
        <v>0</v>
      </c>
      <c r="K158" s="55"/>
    </row>
    <row r="159" spans="1:11" ht="45" x14ac:dyDescent="0.6">
      <c r="A159" s="34"/>
      <c r="B159" s="51" t="str">
        <f ca="1">'Fruit Trees'!A153</f>
        <v>Plum - Santa Rosa</v>
      </c>
      <c r="C159" s="42" t="str">
        <f ca="1">'Fruit Trees'!C153</f>
        <v>#5</v>
      </c>
      <c r="D159" s="42" t="str">
        <f ca="1">'Fruit Trees'!D153</f>
        <v>0.5-1.5"</v>
      </c>
      <c r="E159" s="42" t="str">
        <f ca="1">'Fruit Trees'!E153</f>
        <v>5-12'</v>
      </c>
      <c r="F159" s="52">
        <f ca="1">'Fruit Trees'!F153</f>
        <v>92</v>
      </c>
      <c r="G159" s="68">
        <f ca="1">'Fruit Trees'!G153*0.9</f>
        <v>49.5</v>
      </c>
      <c r="H159" s="51" t="str">
        <f t="shared" ca="1" si="0"/>
        <v>Plum - Santa Rosa #5-2021</v>
      </c>
      <c r="I159" s="54"/>
      <c r="J159" s="55">
        <f t="shared" ca="1" si="1"/>
        <v>0</v>
      </c>
      <c r="K159" s="55"/>
    </row>
    <row r="160" spans="1:11" ht="45" x14ac:dyDescent="0.6">
      <c r="A160" s="34"/>
      <c r="B160" s="51" t="str">
        <f ca="1">'Fruit Trees'!A154</f>
        <v>Plum - Santa Rosa</v>
      </c>
      <c r="C160" s="42" t="str">
        <f ca="1">'Fruit Trees'!C154</f>
        <v>#7</v>
      </c>
      <c r="D160" s="42" t="str">
        <f ca="1">'Fruit Trees'!D154</f>
        <v>0.75-1.25"</v>
      </c>
      <c r="E160" s="42" t="str">
        <f ca="1">'Fruit Trees'!E154</f>
        <v>5-7'</v>
      </c>
      <c r="F160" s="52">
        <f ca="1">'Fruit Trees'!F154</f>
        <v>34</v>
      </c>
      <c r="G160" s="68">
        <f ca="1">'Fruit Trees'!G154*0.9</f>
        <v>72</v>
      </c>
      <c r="H160" s="51" t="str">
        <f t="shared" ca="1" si="0"/>
        <v>Plum - Santa Rosa #7-2021</v>
      </c>
      <c r="I160" s="54"/>
      <c r="J160" s="55">
        <f t="shared" ca="1" si="1"/>
        <v>0</v>
      </c>
      <c r="K160" s="55"/>
    </row>
    <row r="161" spans="1:11" ht="45" x14ac:dyDescent="0.6">
      <c r="A161" s="34"/>
      <c r="B161" s="51" t="str">
        <f ca="1">'Fruit Trees'!A155</f>
        <v>Plum - Stanley (Prune)</v>
      </c>
      <c r="C161" s="42" t="str">
        <f ca="1">'Fruit Trees'!C155</f>
        <v>#5</v>
      </c>
      <c r="D161" s="42" t="str">
        <f ca="1">'Fruit Trees'!D155</f>
        <v>0.75-1.25"</v>
      </c>
      <c r="E161" s="42" t="str">
        <f ca="1">'Fruit Trees'!E155</f>
        <v>5-7'</v>
      </c>
      <c r="F161" s="52">
        <f ca="1">'Fruit Trees'!F155</f>
        <v>73</v>
      </c>
      <c r="G161" s="68">
        <f ca="1">'Fruit Trees'!G155*0.9</f>
        <v>49.5</v>
      </c>
      <c r="H161" s="51" t="str">
        <f t="shared" ca="1" si="0"/>
        <v>Plum - Stanley (Prune) #5-2021</v>
      </c>
      <c r="I161" s="54"/>
      <c r="J161" s="55">
        <f t="shared" ca="1" si="1"/>
        <v>0</v>
      </c>
      <c r="K161" s="55"/>
    </row>
    <row r="162" spans="1:11" ht="45" x14ac:dyDescent="0.6">
      <c r="A162" s="34"/>
      <c r="B162" s="51" t="str">
        <f ca="1">'Fruit Trees'!A156</f>
        <v>Raspberry - Heritage (Red)</v>
      </c>
      <c r="C162" s="42" t="str">
        <f ca="1">'Fruit Trees'!C156</f>
        <v>#5</v>
      </c>
      <c r="D162" s="42" t="str">
        <f ca="1">'Fruit Trees'!D156</f>
        <v>Multi</v>
      </c>
      <c r="E162" s="42" t="str">
        <f ca="1">'Fruit Trees'!E156</f>
        <v>0.5-2.5'</v>
      </c>
      <c r="F162" s="52">
        <f ca="1">'Fruit Trees'!F156</f>
        <v>273</v>
      </c>
      <c r="G162" s="68">
        <f ca="1">'Fruit Trees'!G156*0.9</f>
        <v>31.5</v>
      </c>
      <c r="H162" s="51" t="str">
        <f t="shared" ca="1" si="0"/>
        <v>Raspberry - Heritage (Red) #5-2021</v>
      </c>
      <c r="I162" s="54"/>
      <c r="J162" s="55">
        <f t="shared" ca="1" si="1"/>
        <v>0</v>
      </c>
      <c r="K162" s="55"/>
    </row>
    <row r="163" spans="1:11" ht="45" x14ac:dyDescent="0.6">
      <c r="A163" s="34"/>
      <c r="B163" s="51" t="str">
        <f ca="1">'Fruit Trees'!A157</f>
        <v>Raspberry - Nantahala</v>
      </c>
      <c r="C163" s="42" t="str">
        <f ca="1">'Fruit Trees'!C157</f>
        <v>#5</v>
      </c>
      <c r="D163" s="42" t="str">
        <f ca="1">'Fruit Trees'!D157</f>
        <v>Multi</v>
      </c>
      <c r="E163" s="42" t="str">
        <f ca="1">'Fruit Trees'!E157</f>
        <v>1-2'</v>
      </c>
      <c r="F163" s="52">
        <f ca="1">'Fruit Trees'!F157</f>
        <v>55</v>
      </c>
      <c r="G163" s="68">
        <f ca="1">'Fruit Trees'!G157*0.9</f>
        <v>31.5</v>
      </c>
      <c r="H163" s="51" t="str">
        <f t="shared" ca="1" si="0"/>
        <v>Raspberry - Nantahala #5-2021</v>
      </c>
      <c r="I163" s="54"/>
      <c r="J163" s="55">
        <f t="shared" ca="1" si="1"/>
        <v>0</v>
      </c>
      <c r="K163" s="55"/>
    </row>
    <row r="164" spans="1:11" ht="45" x14ac:dyDescent="0.6">
      <c r="A164" s="34"/>
      <c r="B164" s="51" t="str">
        <f ca="1">'Fruit Trees'!A158</f>
        <v>Raspberry - Royalty (Purple)</v>
      </c>
      <c r="C164" s="42" t="str">
        <f ca="1">'Fruit Trees'!C158</f>
        <v>#5</v>
      </c>
      <c r="D164" s="42" t="str">
        <f ca="1">'Fruit Trees'!D158</f>
        <v>Vine</v>
      </c>
      <c r="E164" s="42" t="str">
        <f ca="1">'Fruit Trees'!E158</f>
        <v>2-4'</v>
      </c>
      <c r="F164" s="52">
        <f ca="1">'Fruit Trees'!F158</f>
        <v>30</v>
      </c>
      <c r="G164" s="68">
        <f ca="1">'Fruit Trees'!G158*0.9</f>
        <v>31.5</v>
      </c>
      <c r="H164" s="51" t="str">
        <f t="shared" ca="1" si="0"/>
        <v>Raspberry - Royalty (Purple) #5-2021</v>
      </c>
      <c r="I164" s="54"/>
      <c r="J164" s="55">
        <f t="shared" ca="1" si="1"/>
        <v>0</v>
      </c>
      <c r="K164" s="55"/>
    </row>
    <row r="165" spans="1:11" ht="45" x14ac:dyDescent="0.6">
      <c r="A165" s="34"/>
      <c r="B165" s="51" t="str">
        <f ca="1">'Fruit Trees'!A159</f>
        <v>Raspberry (Yellow) - Anne</v>
      </c>
      <c r="C165" s="42" t="str">
        <f ca="1">'Fruit Trees'!C159</f>
        <v>#5</v>
      </c>
      <c r="D165" s="42" t="str">
        <f ca="1">'Fruit Trees'!D159</f>
        <v>Multi</v>
      </c>
      <c r="E165" s="42" t="str">
        <f ca="1">'Fruit Trees'!E159</f>
        <v>1-3'</v>
      </c>
      <c r="F165" s="52">
        <f ca="1">'Fruit Trees'!F159</f>
        <v>67</v>
      </c>
      <c r="G165" s="68">
        <f ca="1">'Fruit Trees'!G159*0.9</f>
        <v>31.5</v>
      </c>
      <c r="H165" s="51" t="str">
        <f t="shared" ca="1" si="0"/>
        <v>Raspberry (Yellow) - Anne #5-2021</v>
      </c>
      <c r="I165" s="54"/>
      <c r="J165" s="55">
        <f t="shared" ca="1" si="1"/>
        <v>0</v>
      </c>
      <c r="K165" s="55"/>
    </row>
    <row r="166" spans="1:11" ht="45" x14ac:dyDescent="0.6">
      <c r="A166" s="34"/>
      <c r="B166" s="51" t="str">
        <f ca="1">'Fruit Trees'!A160</f>
        <v>Stone Fruits - Misshapen/Damaged Trees (Discounted)</v>
      </c>
      <c r="C166" s="42" t="str">
        <f ca="1">'Fruit Trees'!C160</f>
        <v>#5</v>
      </c>
      <c r="D166" s="42" t="str">
        <f ca="1">'Fruit Trees'!D160</f>
        <v>0-0"</v>
      </c>
      <c r="E166" s="42" t="str">
        <f ca="1">'Fruit Trees'!E160</f>
        <v>0-0'</v>
      </c>
      <c r="F166" s="52">
        <f ca="1">'Fruit Trees'!F160</f>
        <v>172</v>
      </c>
      <c r="G166" s="68">
        <f ca="1">'Fruit Trees'!G160*0.9</f>
        <v>27</v>
      </c>
      <c r="H166" s="51" t="str">
        <f t="shared" ca="1" si="0"/>
        <v>Stone Fruits - Misshapen/Damaged Trees (Discounted) #5-2021</v>
      </c>
      <c r="I166" s="54"/>
      <c r="J166" s="55">
        <f t="shared" ca="1" si="1"/>
        <v>0</v>
      </c>
      <c r="K166" s="55"/>
    </row>
    <row r="167" spans="1:11" ht="45" x14ac:dyDescent="0.6">
      <c r="A167" s="34"/>
      <c r="B167" s="51" t="str">
        <f ca="1">'Fruit Trees'!A161</f>
        <v>Walnut - Mesa Carpathian</v>
      </c>
      <c r="C167" s="42" t="str">
        <f ca="1">'Fruit Trees'!C161</f>
        <v>#5 Tall Plastic</v>
      </c>
      <c r="D167" s="42" t="str">
        <f ca="1">'Fruit Trees'!D161</f>
        <v>1-1.5"</v>
      </c>
      <c r="E167" s="42" t="str">
        <f ca="1">'Fruit Trees'!E161</f>
        <v>6-7'</v>
      </c>
      <c r="F167" s="52">
        <f ca="1">'Fruit Trees'!F161</f>
        <v>8</v>
      </c>
      <c r="G167" s="68">
        <f ca="1">'Fruit Trees'!G161*0.9</f>
        <v>90</v>
      </c>
      <c r="H167" s="51" t="str">
        <f t="shared" ca="1" si="0"/>
        <v>Walnut - Mesa Carpathian #5 Tall Plastic-2021</v>
      </c>
      <c r="I167" s="54"/>
      <c r="J167" s="55">
        <f t="shared" ca="1" si="1"/>
        <v>0</v>
      </c>
      <c r="K167" s="55"/>
    </row>
    <row r="168" spans="1:11" ht="45" x14ac:dyDescent="0.6">
      <c r="A168" s="34"/>
      <c r="B168" s="51" t="str">
        <f ca="1">'Fruit Trees'!A162</f>
        <v>zx - 1.5"x1.5"x6' Stakes</v>
      </c>
      <c r="C168" s="42">
        <f>'Fruit Trees'!C162</f>
        <v>0</v>
      </c>
      <c r="D168" s="42" t="str">
        <f ca="1">'Fruit Trees'!D162</f>
        <v>0-0"</v>
      </c>
      <c r="E168" s="42" t="str">
        <f ca="1">'Fruit Trees'!E162</f>
        <v>0-0'</v>
      </c>
      <c r="F168" s="52">
        <f ca="1">'Fruit Trees'!F162</f>
        <v>2408</v>
      </c>
      <c r="G168" s="68">
        <f ca="1">'Fruit Trees'!G162*0.9</f>
        <v>2.7</v>
      </c>
      <c r="H168" s="51" t="str">
        <f t="shared" ca="1" si="0"/>
        <v>zx - 1.5"x1.5"x6' Stakes 0-2021</v>
      </c>
      <c r="I168" s="54"/>
      <c r="J168" s="55">
        <f t="shared" ca="1" si="1"/>
        <v>0</v>
      </c>
      <c r="K168" s="55"/>
    </row>
    <row r="169" spans="1:11" ht="45" x14ac:dyDescent="0.6">
      <c r="A169" s="34"/>
      <c r="B169" s="51" t="str">
        <f ca="1">'Fruit Trees'!A163</f>
        <v>zx - 10' Orchard Ladder (extendable leg)</v>
      </c>
      <c r="C169" s="42">
        <f>'Fruit Trees'!C163</f>
        <v>0</v>
      </c>
      <c r="D169" s="42" t="str">
        <f ca="1">'Fruit Trees'!D163</f>
        <v>0-0"</v>
      </c>
      <c r="E169" s="42" t="str">
        <f ca="1">'Fruit Trees'!E163</f>
        <v>0-0'</v>
      </c>
      <c r="F169" s="52">
        <f ca="1">'Fruit Trees'!F163</f>
        <v>11</v>
      </c>
      <c r="G169" s="68">
        <f ca="1">'Fruit Trees'!G163*0.9</f>
        <v>450</v>
      </c>
      <c r="H169" s="51" t="str">
        <f t="shared" ca="1" si="0"/>
        <v>zx - 10' Orchard Ladder (extendable leg) 0-2021</v>
      </c>
      <c r="I169" s="54"/>
      <c r="J169" s="55">
        <f t="shared" ca="1" si="1"/>
        <v>0</v>
      </c>
      <c r="K169" s="55"/>
    </row>
    <row r="170" spans="1:11" ht="45" x14ac:dyDescent="0.6">
      <c r="A170" s="34"/>
      <c r="B170" s="51" t="str">
        <f ca="1">'Fruit Trees'!A164</f>
        <v>zx - 10' Orchard Ladder (fixed)</v>
      </c>
      <c r="C170" s="42">
        <f>'Fruit Trees'!C164</f>
        <v>0</v>
      </c>
      <c r="D170" s="42" t="str">
        <f ca="1">'Fruit Trees'!D164</f>
        <v>0-0"</v>
      </c>
      <c r="E170" s="42" t="str">
        <f ca="1">'Fruit Trees'!E164</f>
        <v>0-0'</v>
      </c>
      <c r="F170" s="52">
        <f ca="1">'Fruit Trees'!F164</f>
        <v>1</v>
      </c>
      <c r="G170" s="68">
        <f ca="1">'Fruit Trees'!G164*0.9</f>
        <v>391.5</v>
      </c>
      <c r="H170" s="51" t="str">
        <f t="shared" ca="1" si="0"/>
        <v>zx - 10' Orchard Ladder (fixed) 0-2021</v>
      </c>
      <c r="I170" s="54"/>
      <c r="J170" s="55">
        <f t="shared" ca="1" si="1"/>
        <v>0</v>
      </c>
      <c r="K170" s="55"/>
    </row>
    <row r="171" spans="1:11" ht="45" x14ac:dyDescent="0.6">
      <c r="A171" s="34"/>
      <c r="B171" s="51" t="str">
        <f ca="1">'Fruit Trees'!A165</f>
        <v>zx - 14' Orchard Ladder (extendable)</v>
      </c>
      <c r="C171" s="42">
        <f>'Fruit Trees'!C165</f>
        <v>0</v>
      </c>
      <c r="D171" s="42" t="str">
        <f ca="1">'Fruit Trees'!D165</f>
        <v>0-0"</v>
      </c>
      <c r="E171" s="42" t="str">
        <f ca="1">'Fruit Trees'!E165</f>
        <v>0-0'</v>
      </c>
      <c r="F171" s="52">
        <f ca="1">'Fruit Trees'!F165</f>
        <v>2</v>
      </c>
      <c r="G171" s="68">
        <f ca="1">'Fruit Trees'!G165</f>
        <v>620</v>
      </c>
      <c r="H171" s="51" t="str">
        <f t="shared" ca="1" si="0"/>
        <v>zx - 14' Orchard Ladder (extendable) 0-2021</v>
      </c>
      <c r="I171" s="54"/>
      <c r="J171" s="55">
        <f t="shared" ca="1" si="1"/>
        <v>0</v>
      </c>
      <c r="K171" s="55"/>
    </row>
    <row r="172" spans="1:11" ht="45" x14ac:dyDescent="0.6">
      <c r="A172" s="34"/>
      <c r="B172" s="51" t="str">
        <f ca="1">'Fruit Trees'!A166</f>
        <v>zx - 16' Orchard Ladder (fixed)</v>
      </c>
      <c r="C172" s="42">
        <f>'Fruit Trees'!C166</f>
        <v>0</v>
      </c>
      <c r="D172" s="42" t="str">
        <f ca="1">'Fruit Trees'!D166</f>
        <v>0-0"</v>
      </c>
      <c r="E172" s="42" t="str">
        <f ca="1">'Fruit Trees'!E166</f>
        <v>0-0'</v>
      </c>
      <c r="F172" s="52">
        <f ca="1">'Fruit Trees'!F166</f>
        <v>5</v>
      </c>
      <c r="G172" s="68">
        <f ca="1">'Fruit Trees'!G166</f>
        <v>600</v>
      </c>
      <c r="H172" s="51" t="str">
        <f t="shared" ca="1" si="0"/>
        <v>zx - 16' Orchard Ladder (fixed) 0-2021</v>
      </c>
      <c r="I172" s="54"/>
      <c r="J172" s="55">
        <f t="shared" ca="1" si="1"/>
        <v>0</v>
      </c>
      <c r="K172" s="55"/>
    </row>
    <row r="173" spans="1:11" ht="45" x14ac:dyDescent="0.6">
      <c r="A173" s="34"/>
      <c r="B173" s="51" t="str">
        <f ca="1">'Fruit Trees'!A167</f>
        <v>zx - 4' Bark Protector</v>
      </c>
      <c r="C173" s="42">
        <f>'Fruit Trees'!C167</f>
        <v>0</v>
      </c>
      <c r="D173" s="42" t="str">
        <f ca="1">'Fruit Trees'!D167</f>
        <v>0-0"</v>
      </c>
      <c r="E173" s="42" t="str">
        <f ca="1">'Fruit Trees'!E167</f>
        <v>0-0'</v>
      </c>
      <c r="F173" s="52">
        <f ca="1">'Fruit Trees'!F167</f>
        <v>745</v>
      </c>
      <c r="G173" s="68">
        <f ca="1">'Fruit Trees'!G167</f>
        <v>10</v>
      </c>
      <c r="H173" s="51" t="str">
        <f t="shared" ca="1" si="0"/>
        <v>zx - 4' Bark Protector 0-2021</v>
      </c>
      <c r="I173" s="54"/>
      <c r="J173" s="55">
        <f t="shared" ca="1" si="1"/>
        <v>0</v>
      </c>
      <c r="K173" s="55"/>
    </row>
    <row r="174" spans="1:11" ht="45" x14ac:dyDescent="0.6">
      <c r="A174" s="34"/>
      <c r="B174" s="51" t="str">
        <f ca="1">'Fruit Trees'!A168</f>
        <v>zx - 6' Orchard Ladder (extendable leg)</v>
      </c>
      <c r="C174" s="42">
        <f>'Fruit Trees'!C168</f>
        <v>0</v>
      </c>
      <c r="D174" s="42" t="str">
        <f ca="1">'Fruit Trees'!D168</f>
        <v>0-0"</v>
      </c>
      <c r="E174" s="42" t="str">
        <f ca="1">'Fruit Trees'!E168</f>
        <v>0-0'</v>
      </c>
      <c r="F174" s="52">
        <f ca="1">'Fruit Trees'!F168</f>
        <v>2</v>
      </c>
      <c r="G174" s="68">
        <f ca="1">'Fruit Trees'!G168</f>
        <v>400</v>
      </c>
      <c r="H174" s="51" t="str">
        <f t="shared" ca="1" si="0"/>
        <v>zx - 6' Orchard Ladder (extendable leg) 0-2021</v>
      </c>
      <c r="I174" s="54"/>
      <c r="J174" s="55">
        <f t="shared" ca="1" si="1"/>
        <v>0</v>
      </c>
      <c r="K174" s="55"/>
    </row>
    <row r="175" spans="1:11" ht="45" x14ac:dyDescent="0.6">
      <c r="A175" s="34"/>
      <c r="B175" s="51" t="str">
        <f ca="1">'Fruit Trees'!A169</f>
        <v>zx - 8' Orchard Ladder (extendable leg)</v>
      </c>
      <c r="C175" s="42">
        <f>'Fruit Trees'!C169</f>
        <v>0</v>
      </c>
      <c r="D175" s="42" t="str">
        <f ca="1">'Fruit Trees'!D169</f>
        <v>0-0"</v>
      </c>
      <c r="E175" s="42" t="str">
        <f ca="1">'Fruit Trees'!E169</f>
        <v>0-0'</v>
      </c>
      <c r="F175" s="52">
        <f ca="1">'Fruit Trees'!F169</f>
        <v>3</v>
      </c>
      <c r="G175" s="68">
        <f ca="1">'Fruit Trees'!G169</f>
        <v>450</v>
      </c>
      <c r="H175" s="51" t="str">
        <f t="shared" ca="1" si="0"/>
        <v>zx - 8' Orchard Ladder (extendable leg) 0-2021</v>
      </c>
      <c r="I175" s="54"/>
      <c r="J175" s="55">
        <f t="shared" ca="1" si="1"/>
        <v>0</v>
      </c>
      <c r="K175" s="55"/>
    </row>
    <row r="176" spans="1:11" ht="45" x14ac:dyDescent="0.6">
      <c r="A176" s="34"/>
      <c r="B176" s="51" t="str">
        <f ca="1">'Fruit Trees'!A170</f>
        <v>zx - Felco #2 Pruners</v>
      </c>
      <c r="C176" s="42">
        <f>'Fruit Trees'!C170</f>
        <v>0</v>
      </c>
      <c r="D176" s="42" t="str">
        <f ca="1">'Fruit Trees'!D170</f>
        <v>0-0"</v>
      </c>
      <c r="E176" s="42" t="str">
        <f ca="1">'Fruit Trees'!E170</f>
        <v>0-0'</v>
      </c>
      <c r="F176" s="52">
        <f ca="1">'Fruit Trees'!F170</f>
        <v>49</v>
      </c>
      <c r="G176" s="68">
        <f ca="1">'Fruit Trees'!G170</f>
        <v>65</v>
      </c>
      <c r="H176" s="51" t="str">
        <f t="shared" ca="1" si="0"/>
        <v>zx - Felco #2 Pruners 0-2021</v>
      </c>
      <c r="I176" s="54"/>
      <c r="J176" s="55">
        <f t="shared" ca="1" si="1"/>
        <v>0</v>
      </c>
      <c r="K176" s="55"/>
    </row>
    <row r="177" spans="1:11" ht="45" x14ac:dyDescent="0.6">
      <c r="A177" s="34"/>
      <c r="B177" s="34"/>
      <c r="C177" s="42"/>
      <c r="D177" s="45"/>
      <c r="E177" s="45"/>
      <c r="F177" s="45"/>
      <c r="G177" s="66"/>
      <c r="H177" s="51" t="str">
        <f t="shared" si="0"/>
        <v xml:space="preserve"> -2021</v>
      </c>
      <c r="I177" s="49" t="s">
        <v>28</v>
      </c>
      <c r="J177" s="55">
        <f ca="1">SUM(J6:J171)</f>
        <v>0</v>
      </c>
      <c r="K177" s="55"/>
    </row>
    <row r="178" spans="1:11" ht="45" x14ac:dyDescent="0.6">
      <c r="A178" s="56" t="s">
        <v>20</v>
      </c>
      <c r="B178" s="57"/>
      <c r="C178" s="42"/>
      <c r="D178" s="43"/>
      <c r="E178" s="43"/>
      <c r="F178" s="58"/>
      <c r="G178" s="70"/>
      <c r="H178" s="51" t="str">
        <f t="shared" si="0"/>
        <v xml:space="preserve"> -2021</v>
      </c>
      <c r="I178" s="41"/>
      <c r="J178" s="55"/>
      <c r="K178" s="55"/>
    </row>
    <row r="179" spans="1:11" ht="12.75" x14ac:dyDescent="0.2">
      <c r="A179" s="47" t="str">
        <f ca="1">'Landscape Trees '!A1</f>
        <v>Latin Name</v>
      </c>
      <c r="B179" s="47" t="str">
        <f ca="1">'Landscape Trees '!C1</f>
        <v>Common Name</v>
      </c>
      <c r="C179" s="48" t="str">
        <f ca="1">'Landscape Trees '!D1</f>
        <v>Pot Size</v>
      </c>
      <c r="D179" s="48" t="str">
        <f ca="1">'Landscape Trees '!E1</f>
        <v xml:space="preserve">Caliper </v>
      </c>
      <c r="E179" s="48" t="str">
        <f ca="1">'Landscape Trees '!F1</f>
        <v xml:space="preserve">Height </v>
      </c>
      <c r="F179" s="48" t="str">
        <f ca="1">'Landscape Trees '!G1</f>
        <v xml:space="preserve">Quantity </v>
      </c>
      <c r="G179" s="67" t="str">
        <f ca="1">'Landscape Trees '!H1</f>
        <v>Price</v>
      </c>
      <c r="H179" s="51" t="str">
        <f t="shared" ca="1" si="0"/>
        <v>Common Name Pot Size-2021</v>
      </c>
      <c r="I179" s="49" t="s">
        <v>18</v>
      </c>
      <c r="J179" s="50" t="s">
        <v>19</v>
      </c>
      <c r="K179" s="50"/>
    </row>
    <row r="180" spans="1:11" ht="12.75" x14ac:dyDescent="0.2">
      <c r="A180" s="51" t="str">
        <f ca="1">'Landscape Trees '!A2</f>
        <v>Acer campestre</v>
      </c>
      <c r="B180" s="51" t="str">
        <f ca="1">'Landscape Trees '!C2</f>
        <v>Hedge Maple</v>
      </c>
      <c r="C180" s="42" t="str">
        <f ca="1">'Landscape Trees '!D2</f>
        <v>#15</v>
      </c>
      <c r="D180" s="42" t="str">
        <f ca="1">'Landscape Trees '!E2</f>
        <v>0.75-2"</v>
      </c>
      <c r="E180" s="42" t="str">
        <f ca="1">'Landscape Trees '!F2</f>
        <v>8-14'</v>
      </c>
      <c r="F180" s="52">
        <f ca="1">'Landscape Trees '!G2</f>
        <v>11</v>
      </c>
      <c r="G180" s="68">
        <f ca="1">'Landscape Trees '!H2</f>
        <v>135</v>
      </c>
      <c r="H180" s="51" t="str">
        <f t="shared" ca="1" si="0"/>
        <v>Hedge Maple #15-2021</v>
      </c>
      <c r="I180" s="54"/>
      <c r="J180" s="55">
        <f t="shared" ref="J180:J434" ca="1" si="2">I180*G180</f>
        <v>0</v>
      </c>
      <c r="K180" s="55"/>
    </row>
    <row r="181" spans="1:11" ht="12.75" x14ac:dyDescent="0.2">
      <c r="A181" s="51" t="str">
        <f ca="1">'Landscape Trees '!A3</f>
        <v>Acer griseum</v>
      </c>
      <c r="B181" s="51" t="str">
        <f ca="1">'Landscape Trees '!C3</f>
        <v>Paperbark Maple</v>
      </c>
      <c r="C181" s="42" t="str">
        <f ca="1">'Landscape Trees '!D3</f>
        <v>#5</v>
      </c>
      <c r="D181" s="42" t="str">
        <f ca="1">'Landscape Trees '!E3</f>
        <v>0.5-1"</v>
      </c>
      <c r="E181" s="42" t="str">
        <f ca="1">'Landscape Trees '!F3</f>
        <v>4.5-6'</v>
      </c>
      <c r="F181" s="52">
        <f ca="1">'Landscape Trees '!G3</f>
        <v>17</v>
      </c>
      <c r="G181" s="68">
        <f ca="1">'Landscape Trees '!H3</f>
        <v>70</v>
      </c>
      <c r="H181" s="51" t="str">
        <f t="shared" ca="1" si="0"/>
        <v>Paperbark Maple #5-2021</v>
      </c>
      <c r="I181" s="54"/>
      <c r="J181" s="55">
        <f t="shared" ca="1" si="2"/>
        <v>0</v>
      </c>
      <c r="K181" s="55"/>
    </row>
    <row r="182" spans="1:11" ht="12.75" x14ac:dyDescent="0.2">
      <c r="A182" s="51" t="str">
        <f ca="1">'Landscape Trees '!A4</f>
        <v>Acer griseum</v>
      </c>
      <c r="B182" s="51" t="str">
        <f ca="1">'Landscape Trees '!C4</f>
        <v>Paperbark Maple</v>
      </c>
      <c r="C182" s="42" t="str">
        <f ca="1">'Landscape Trees '!D4</f>
        <v>#15</v>
      </c>
      <c r="D182" s="42" t="str">
        <f ca="1">'Landscape Trees '!E4</f>
        <v>1-1.5"</v>
      </c>
      <c r="E182" s="42" t="str">
        <f ca="1">'Landscape Trees '!F4</f>
        <v>7.5-10'</v>
      </c>
      <c r="F182" s="52">
        <f ca="1">'Landscape Trees '!G4</f>
        <v>5</v>
      </c>
      <c r="G182" s="68">
        <f ca="1">'Landscape Trees '!H4*0.9</f>
        <v>162</v>
      </c>
      <c r="H182" s="51" t="str">
        <f t="shared" ca="1" si="0"/>
        <v>Paperbark Maple #15-2021</v>
      </c>
      <c r="I182" s="54"/>
      <c r="J182" s="55">
        <f t="shared" ca="1" si="2"/>
        <v>0</v>
      </c>
      <c r="K182" s="55"/>
    </row>
    <row r="183" spans="1:11" ht="12.75" x14ac:dyDescent="0.2">
      <c r="A183" s="51" t="str">
        <f ca="1">'Landscape Trees '!A5</f>
        <v>Acer negundo</v>
      </c>
      <c r="B183" s="51" t="str">
        <f ca="1">'Landscape Trees '!C5</f>
        <v>Boxelder Maple</v>
      </c>
      <c r="C183" s="42" t="str">
        <f ca="1">'Landscape Trees '!D5</f>
        <v>#7</v>
      </c>
      <c r="D183" s="42" t="str">
        <f ca="1">'Landscape Trees '!E5</f>
        <v>0.5-1.5"</v>
      </c>
      <c r="E183" s="42" t="str">
        <f ca="1">'Landscape Trees '!F5</f>
        <v>2-9'</v>
      </c>
      <c r="F183" s="52">
        <f ca="1">'Landscape Trees '!G5</f>
        <v>30</v>
      </c>
      <c r="G183" s="68">
        <f ca="1">'Landscape Trees '!H5*0.9</f>
        <v>45</v>
      </c>
      <c r="H183" s="51" t="str">
        <f t="shared" ca="1" si="0"/>
        <v>Boxelder Maple #7-2021</v>
      </c>
      <c r="I183" s="54"/>
      <c r="J183" s="55">
        <f t="shared" ca="1" si="2"/>
        <v>0</v>
      </c>
      <c r="K183" s="55"/>
    </row>
    <row r="184" spans="1:11" ht="12.75" x14ac:dyDescent="0.2">
      <c r="A184" s="51" t="str">
        <f ca="1">'Landscape Trees '!A6</f>
        <v>Acer palmatum 'Bloodgood'</v>
      </c>
      <c r="B184" s="51" t="str">
        <f ca="1">'Landscape Trees '!C6</f>
        <v>Bloodgood Japanese Maple</v>
      </c>
      <c r="C184" s="42" t="str">
        <f ca="1">'Landscape Trees '!D6</f>
        <v>#5</v>
      </c>
      <c r="D184" s="42" t="str">
        <f ca="1">'Landscape Trees '!E6</f>
        <v>0.75-1"</v>
      </c>
      <c r="E184" s="42" t="str">
        <f ca="1">'Landscape Trees '!F6</f>
        <v>4-6'</v>
      </c>
      <c r="F184" s="52">
        <f ca="1">'Landscape Trees '!G6</f>
        <v>9</v>
      </c>
      <c r="G184" s="68">
        <f ca="1">'Landscape Trees '!H6*0.9</f>
        <v>63</v>
      </c>
      <c r="H184" s="51" t="str">
        <f t="shared" ca="1" si="0"/>
        <v>Bloodgood Japanese Maple #5-2021</v>
      </c>
      <c r="I184" s="54"/>
      <c r="J184" s="55">
        <f t="shared" ca="1" si="2"/>
        <v>0</v>
      </c>
      <c r="K184" s="55"/>
    </row>
    <row r="185" spans="1:11" ht="12.75" x14ac:dyDescent="0.2">
      <c r="A185" s="51" t="str">
        <f ca="1">'Landscape Trees '!A7</f>
        <v>Acer palmatum 'Emperor I'</v>
      </c>
      <c r="B185" s="51" t="str">
        <f ca="1">'Landscape Trees '!C7</f>
        <v>Emperor I Japanese Maple</v>
      </c>
      <c r="C185" s="42" t="str">
        <f ca="1">'Landscape Trees '!D7</f>
        <v>#5</v>
      </c>
      <c r="D185" s="42" t="str">
        <f ca="1">'Landscape Trees '!E7</f>
        <v>0.5-1"</v>
      </c>
      <c r="E185" s="42" t="str">
        <f ca="1">'Landscape Trees '!F7</f>
        <v>5-6'</v>
      </c>
      <c r="F185" s="52">
        <f ca="1">'Landscape Trees '!G7</f>
        <v>22</v>
      </c>
      <c r="G185" s="68">
        <f ca="1">'Landscape Trees '!H7*0.9</f>
        <v>63</v>
      </c>
      <c r="H185" s="51" t="str">
        <f t="shared" ca="1" si="0"/>
        <v>Emperor I Japanese Maple #5-2021</v>
      </c>
      <c r="I185" s="54"/>
      <c r="J185" s="55">
        <f t="shared" ca="1" si="2"/>
        <v>0</v>
      </c>
      <c r="K185" s="55"/>
    </row>
    <row r="186" spans="1:11" ht="12.75" x14ac:dyDescent="0.2">
      <c r="A186" s="51" t="str">
        <f ca="1">'Landscape Trees '!A8</f>
        <v>Acer palmatum 'Tamukeyama'</v>
      </c>
      <c r="B186" s="51" t="str">
        <f ca="1">'Landscape Trees '!C8</f>
        <v>Tamukeyama Japanese Maple</v>
      </c>
      <c r="C186" s="42" t="str">
        <f ca="1">'Landscape Trees '!D8</f>
        <v>#5</v>
      </c>
      <c r="D186" s="42" t="str">
        <f ca="1">'Landscape Trees '!E8</f>
        <v>0.25-1"</v>
      </c>
      <c r="E186" s="42" t="str">
        <f ca="1">'Landscape Trees '!F8</f>
        <v>2.5-5'</v>
      </c>
      <c r="F186" s="52">
        <f ca="1">'Landscape Trees '!G8</f>
        <v>30</v>
      </c>
      <c r="G186" s="68">
        <f ca="1">'Landscape Trees '!H8*0.9</f>
        <v>63</v>
      </c>
      <c r="H186" s="51" t="str">
        <f t="shared" ca="1" si="0"/>
        <v>Tamukeyama Japanese Maple #5-2021</v>
      </c>
      <c r="I186" s="54"/>
      <c r="J186" s="55">
        <f t="shared" ca="1" si="2"/>
        <v>0</v>
      </c>
      <c r="K186" s="55"/>
    </row>
    <row r="187" spans="1:11" ht="12.75" x14ac:dyDescent="0.2">
      <c r="A187" s="51" t="str">
        <f ca="1">'Landscape Trees '!A9</f>
        <v>Acer platanoides 'Crimson King'</v>
      </c>
      <c r="B187" s="51" t="str">
        <f ca="1">'Landscape Trees '!C9</f>
        <v>Crimson King Norway Maple</v>
      </c>
      <c r="C187" s="42" t="str">
        <f ca="1">'Landscape Trees '!D9</f>
        <v>#15</v>
      </c>
      <c r="D187" s="42" t="str">
        <f ca="1">'Landscape Trees '!E9</f>
        <v>1.25-2"</v>
      </c>
      <c r="E187" s="42" t="str">
        <f ca="1">'Landscape Trees '!F9</f>
        <v>10-14'</v>
      </c>
      <c r="F187" s="52">
        <f ca="1">'Landscape Trees '!G9</f>
        <v>18</v>
      </c>
      <c r="G187" s="68">
        <f ca="1">'Landscape Trees '!H9*0.9</f>
        <v>121.5</v>
      </c>
      <c r="H187" s="51" t="str">
        <f t="shared" ca="1" si="0"/>
        <v>Crimson King Norway Maple #15-2021</v>
      </c>
      <c r="I187" s="54"/>
      <c r="J187" s="55">
        <f t="shared" ca="1" si="2"/>
        <v>0</v>
      </c>
      <c r="K187" s="55"/>
    </row>
    <row r="188" spans="1:11" ht="12.75" x14ac:dyDescent="0.2">
      <c r="A188" s="51" t="str">
        <f ca="1">'Landscape Trees '!A10</f>
        <v>Acer platanoides 'Silver Variegated'</v>
      </c>
      <c r="B188" s="51" t="str">
        <f ca="1">'Landscape Trees '!C10</f>
        <v>Silver Variegated Norway Maple</v>
      </c>
      <c r="C188" s="42" t="str">
        <f ca="1">'Landscape Trees '!D10</f>
        <v>#15</v>
      </c>
      <c r="D188" s="42" t="str">
        <f ca="1">'Landscape Trees '!E10</f>
        <v>0.75-1.25"</v>
      </c>
      <c r="E188" s="42" t="str">
        <f ca="1">'Landscape Trees '!F10</f>
        <v>8-10'</v>
      </c>
      <c r="F188" s="52">
        <f ca="1">'Landscape Trees '!G10</f>
        <v>10</v>
      </c>
      <c r="G188" s="68">
        <f ca="1">'Landscape Trees '!H10*0.9</f>
        <v>121.5</v>
      </c>
      <c r="H188" s="51" t="str">
        <f t="shared" ca="1" si="0"/>
        <v>Silver Variegated Norway Maple #15-2021</v>
      </c>
      <c r="I188" s="54"/>
      <c r="J188" s="55">
        <f t="shared" ca="1" si="2"/>
        <v>0</v>
      </c>
      <c r="K188" s="55"/>
    </row>
    <row r="189" spans="1:11" ht="12.75" x14ac:dyDescent="0.2">
      <c r="A189" s="51" t="str">
        <f ca="1">'Landscape Trees '!A11</f>
        <v>Acer rubrum</v>
      </c>
      <c r="B189" s="51" t="str">
        <f ca="1">'Landscape Trees '!C11</f>
        <v>Red Maple Native</v>
      </c>
      <c r="C189" s="42" t="str">
        <f ca="1">'Landscape Trees '!D11</f>
        <v>#5</v>
      </c>
      <c r="D189" s="42" t="str">
        <f ca="1">'Landscape Trees '!E11</f>
        <v>0.5-1.5"</v>
      </c>
      <c r="E189" s="42" t="str">
        <f ca="1">'Landscape Trees '!F11</f>
        <v>3-10'</v>
      </c>
      <c r="F189" s="52">
        <f ca="1">'Landscape Trees '!G11</f>
        <v>256</v>
      </c>
      <c r="G189" s="68">
        <f ca="1">'Landscape Trees '!H11*0.9</f>
        <v>45</v>
      </c>
      <c r="H189" s="51" t="str">
        <f t="shared" ca="1" si="0"/>
        <v>Red Maple Native #5-2021</v>
      </c>
      <c r="I189" s="54"/>
      <c r="J189" s="55">
        <f t="shared" ca="1" si="2"/>
        <v>0</v>
      </c>
      <c r="K189" s="55"/>
    </row>
    <row r="190" spans="1:11" ht="12.75" x14ac:dyDescent="0.2">
      <c r="A190" s="51" t="str">
        <f ca="1">'Landscape Trees '!A12</f>
        <v>Acer rubrum</v>
      </c>
      <c r="B190" s="51" t="str">
        <f ca="1">'Landscape Trees '!C12</f>
        <v>Red Maple Cultivar</v>
      </c>
      <c r="C190" s="42" t="str">
        <f ca="1">'Landscape Trees '!D12</f>
        <v>#15</v>
      </c>
      <c r="D190" s="42" t="str">
        <f ca="1">'Landscape Trees '!E12</f>
        <v>1-1.75"</v>
      </c>
      <c r="E190" s="42" t="str">
        <f ca="1">'Landscape Trees '!F12</f>
        <v>9-12'</v>
      </c>
      <c r="F190" s="52">
        <f ca="1">'Landscape Trees '!G12</f>
        <v>42</v>
      </c>
      <c r="G190" s="68">
        <f ca="1">'Landscape Trees '!H12*0.9</f>
        <v>121.5</v>
      </c>
      <c r="H190" s="51" t="str">
        <f t="shared" ca="1" si="0"/>
        <v>Red Maple Cultivar #15-2021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'!A13</f>
        <v xml:space="preserve">Acer rubrum </v>
      </c>
      <c r="B191" s="51" t="str">
        <f ca="1">'Landscape Trees '!C13</f>
        <v>Red Maple Cultivar</v>
      </c>
      <c r="C191" s="42" t="str">
        <f ca="1">'Landscape Trees '!D13</f>
        <v>#5</v>
      </c>
      <c r="D191" s="42" t="str">
        <f ca="1">'Landscape Trees '!E13</f>
        <v>0.75-1"</v>
      </c>
      <c r="E191" s="42" t="str">
        <f ca="1">'Landscape Trees '!F13</f>
        <v>6-7'</v>
      </c>
      <c r="F191" s="52">
        <f ca="1">'Landscape Trees '!G13</f>
        <v>49</v>
      </c>
      <c r="G191" s="68">
        <f ca="1">'Landscape Trees '!H13*0.9</f>
        <v>45</v>
      </c>
      <c r="H191" s="51" t="str">
        <f t="shared" ca="1" si="0"/>
        <v>Red Maple Cultivar #5-2021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'!A14</f>
        <v>Acer rubrum 'Armstrong'</v>
      </c>
      <c r="B192" s="51" t="str">
        <f ca="1">'Landscape Trees '!C14</f>
        <v>Armstrong Red Maple</v>
      </c>
      <c r="C192" s="42" t="str">
        <f ca="1">'Landscape Trees '!D14</f>
        <v>#15</v>
      </c>
      <c r="D192" s="42" t="str">
        <f ca="1">'Landscape Trees '!E14</f>
        <v>1.75-1.75"</v>
      </c>
      <c r="E192" s="42" t="str">
        <f ca="1">'Landscape Trees '!F14</f>
        <v>14-14'</v>
      </c>
      <c r="F192" s="52">
        <f ca="1">'Landscape Trees '!G14</f>
        <v>1</v>
      </c>
      <c r="G192" s="68">
        <f ca="1">'Landscape Trees '!H14*0.9</f>
        <v>121.5</v>
      </c>
      <c r="H192" s="51" t="str">
        <f t="shared" ca="1" si="0"/>
        <v>Armstrong Red Maple #15-2021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'!A15</f>
        <v>Acer rubrum 'Armstrong'</v>
      </c>
      <c r="B193" s="51" t="str">
        <f ca="1">'Landscape Trees '!C15</f>
        <v>Armstrong Red Maple</v>
      </c>
      <c r="C193" s="42" t="str">
        <f ca="1">'Landscape Trees '!D15</f>
        <v>#10</v>
      </c>
      <c r="D193" s="42" t="str">
        <f ca="1">'Landscape Trees '!E15</f>
        <v>0.75-1"</v>
      </c>
      <c r="E193" s="42" t="str">
        <f ca="1">'Landscape Trees '!F15</f>
        <v>6-8'</v>
      </c>
      <c r="F193" s="52">
        <f ca="1">'Landscape Trees '!G15</f>
        <v>5</v>
      </c>
      <c r="G193" s="68">
        <f ca="1">'Landscape Trees '!H15*0.9</f>
        <v>90</v>
      </c>
      <c r="H193" s="51" t="str">
        <f t="shared" ca="1" si="0"/>
        <v>Armstrong Red Maple #10-2021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'!A16</f>
        <v>Acer rubrum 'Armstrong'</v>
      </c>
      <c r="B194" s="51" t="str">
        <f ca="1">'Landscape Trees '!C16</f>
        <v>Armstrong Red Maple</v>
      </c>
      <c r="C194" s="42" t="str">
        <f ca="1">'Landscape Trees '!D16</f>
        <v>#5</v>
      </c>
      <c r="D194" s="42" t="str">
        <f ca="1">'Landscape Trees '!E16</f>
        <v>0.5-1"</v>
      </c>
      <c r="E194" s="42" t="str">
        <f ca="1">'Landscape Trees '!F16</f>
        <v>3-6'</v>
      </c>
      <c r="F194" s="52">
        <f ca="1">'Landscape Trees '!G16</f>
        <v>24</v>
      </c>
      <c r="G194" s="68">
        <f ca="1">'Landscape Trees '!H16*0.9</f>
        <v>45</v>
      </c>
      <c r="H194" s="51" t="str">
        <f t="shared" ca="1" si="0"/>
        <v>Armstrong Red Maple #5-2021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'!A17</f>
        <v>Acer saccharinum</v>
      </c>
      <c r="B195" s="51" t="str">
        <f ca="1">'Landscape Trees '!C17</f>
        <v>Silver Maple</v>
      </c>
      <c r="C195" s="42" t="str">
        <f ca="1">'Landscape Trees '!D17</f>
        <v>#5</v>
      </c>
      <c r="D195" s="42" t="str">
        <f ca="1">'Landscape Trees '!E17</f>
        <v>0.75-1.5"</v>
      </c>
      <c r="E195" s="42" t="str">
        <f ca="1">'Landscape Trees '!F17</f>
        <v>6-13'</v>
      </c>
      <c r="F195" s="52">
        <f ca="1">'Landscape Trees '!G17</f>
        <v>7</v>
      </c>
      <c r="G195" s="68">
        <f ca="1">'Landscape Trees '!H17*0.9</f>
        <v>45</v>
      </c>
      <c r="H195" s="51" t="str">
        <f t="shared" ca="1" si="0"/>
        <v>Silver Maple #5-2021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'!A18</f>
        <v>Acer saccharum 'Bailsta'</v>
      </c>
      <c r="B196" s="51" t="str">
        <f ca="1">'Landscape Trees '!C18</f>
        <v>Fall Fiesta Sugar Maple</v>
      </c>
      <c r="C196" s="42" t="str">
        <f ca="1">'Landscape Trees '!D18</f>
        <v>#15</v>
      </c>
      <c r="D196" s="42" t="str">
        <f ca="1">'Landscape Trees '!E18</f>
        <v>1.25-2"</v>
      </c>
      <c r="E196" s="42" t="str">
        <f ca="1">'Landscape Trees '!F18</f>
        <v>8-13'</v>
      </c>
      <c r="F196" s="52">
        <f ca="1">'Landscape Trees '!G18</f>
        <v>12</v>
      </c>
      <c r="G196" s="68">
        <f ca="1">'Landscape Trees '!H18*0.9</f>
        <v>121.5</v>
      </c>
      <c r="H196" s="51" t="str">
        <f t="shared" ca="1" si="0"/>
        <v>Fall Fiesta Sugar Maple #15-2021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'!A19</f>
        <v>Acer saccharum 'Bailsta'</v>
      </c>
      <c r="B197" s="51" t="str">
        <f ca="1">'Landscape Trees '!C19</f>
        <v>Fall Fiesta Sugar Maple</v>
      </c>
      <c r="C197" s="42" t="str">
        <f ca="1">'Landscape Trees '!D19</f>
        <v>#25</v>
      </c>
      <c r="D197" s="42" t="str">
        <f ca="1">'Landscape Trees '!E19</f>
        <v>1.5-2"</v>
      </c>
      <c r="E197" s="42" t="str">
        <f ca="1">'Landscape Trees '!F19</f>
        <v>10-15'</v>
      </c>
      <c r="F197" s="52">
        <f ca="1">'Landscape Trees '!G19</f>
        <v>15</v>
      </c>
      <c r="G197" s="68">
        <f ca="1">'Landscape Trees '!H19*0.9</f>
        <v>135</v>
      </c>
      <c r="H197" s="51" t="str">
        <f t="shared" ca="1" si="0"/>
        <v>Fall Fiesta Sugar Maple #25-2021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'!A20</f>
        <v>Acer saccharum 'Green Mountain'</v>
      </c>
      <c r="B198" s="51" t="str">
        <f ca="1">'Landscape Trees '!C20</f>
        <v>Green Mountain Sugar Maple</v>
      </c>
      <c r="C198" s="42" t="str">
        <f ca="1">'Landscape Trees '!D20</f>
        <v>#15</v>
      </c>
      <c r="D198" s="42" t="str">
        <f ca="1">'Landscape Trees '!E20</f>
        <v>1.25-1.5"</v>
      </c>
      <c r="E198" s="42" t="str">
        <f ca="1">'Landscape Trees '!F20</f>
        <v>10-14'</v>
      </c>
      <c r="F198" s="52">
        <f ca="1">'Landscape Trees '!G20</f>
        <v>6</v>
      </c>
      <c r="G198" s="68">
        <f ca="1">'Landscape Trees '!H20*0.9</f>
        <v>121.5</v>
      </c>
      <c r="H198" s="51" t="str">
        <f t="shared" ca="1" si="0"/>
        <v>Green Mountain Sugar Maple #15-2021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'!A21</f>
        <v>Acer tataricum 'Hot Wings'</v>
      </c>
      <c r="B199" s="51" t="str">
        <f ca="1">'Landscape Trees '!C21</f>
        <v>Hot Wings Maple</v>
      </c>
      <c r="C199" s="42" t="str">
        <f ca="1">'Landscape Trees '!D21</f>
        <v>#15</v>
      </c>
      <c r="D199" s="42" t="str">
        <f ca="1">'Landscape Trees '!E21</f>
        <v>1-1.75"</v>
      </c>
      <c r="E199" s="42" t="str">
        <f ca="1">'Landscape Trees '!F21</f>
        <v>9-13'</v>
      </c>
      <c r="F199" s="52">
        <f ca="1">'Landscape Trees '!G21</f>
        <v>13</v>
      </c>
      <c r="G199" s="68">
        <f ca="1">'Landscape Trees '!H21*0.9</f>
        <v>121.5</v>
      </c>
      <c r="H199" s="51" t="str">
        <f t="shared" ca="1" si="0"/>
        <v>Hot Wings Maple #15-2021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'!A22</f>
        <v>Acer x freemanii</v>
      </c>
      <c r="B200" s="51" t="str">
        <f ca="1">'Landscape Trees '!C22</f>
        <v>Autumn Blaze Maple</v>
      </c>
      <c r="C200" s="42" t="str">
        <f ca="1">'Landscape Trees '!D22</f>
        <v>#5</v>
      </c>
      <c r="D200" s="42" t="str">
        <f ca="1">'Landscape Trees '!E22</f>
        <v>1-1.25"</v>
      </c>
      <c r="E200" s="42" t="str">
        <f ca="1">'Landscape Trees '!F22</f>
        <v>7-9'</v>
      </c>
      <c r="F200" s="52">
        <f ca="1">'Landscape Trees '!G22</f>
        <v>21</v>
      </c>
      <c r="G200" s="68">
        <f ca="1">'Landscape Trees '!H22*0.9</f>
        <v>45</v>
      </c>
      <c r="H200" s="51" t="str">
        <f t="shared" ca="1" si="0"/>
        <v>Autumn Blaze Maple #5-2021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'!A23</f>
        <v>Acer x freemanii</v>
      </c>
      <c r="B201" s="51" t="str">
        <f ca="1">'Landscape Trees '!C23</f>
        <v>Autumn Blaze Maple</v>
      </c>
      <c r="C201" s="42" t="str">
        <f ca="1">'Landscape Trees '!D23</f>
        <v>#10</v>
      </c>
      <c r="D201" s="42" t="str">
        <f ca="1">'Landscape Trees '!E23</f>
        <v>0.75-1"</v>
      </c>
      <c r="E201" s="42" t="str">
        <f ca="1">'Landscape Trees '!F23</f>
        <v>8-9'</v>
      </c>
      <c r="F201" s="52">
        <f ca="1">'Landscape Trees '!G23</f>
        <v>1</v>
      </c>
      <c r="G201" s="68">
        <f ca="1">'Landscape Trees '!H23*0.9</f>
        <v>90</v>
      </c>
      <c r="H201" s="51" t="str">
        <f t="shared" ca="1" si="0"/>
        <v>Autumn Blaze Maple #10-2021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'!A24</f>
        <v>Aesculus carnea 'Ft. McNair'</v>
      </c>
      <c r="B202" s="51" t="str">
        <f ca="1">'Landscape Trees '!C24</f>
        <v>Ft. McNair Horsechestnut</v>
      </c>
      <c r="C202" s="42" t="str">
        <f ca="1">'Landscape Trees '!D24</f>
        <v>#15</v>
      </c>
      <c r="D202" s="42" t="str">
        <f ca="1">'Landscape Trees '!E24</f>
        <v>1-1.5"</v>
      </c>
      <c r="E202" s="42" t="str">
        <f ca="1">'Landscape Trees '!F24</f>
        <v>7-8'</v>
      </c>
      <c r="F202" s="52">
        <f ca="1">'Landscape Trees '!G24</f>
        <v>2</v>
      </c>
      <c r="G202" s="68">
        <f ca="1">'Landscape Trees '!H24*0.9</f>
        <v>121.5</v>
      </c>
      <c r="H202" s="51" t="str">
        <f t="shared" ca="1" si="0"/>
        <v>Ft. McNair Horsechestnut #15-2021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'!A25</f>
        <v>Aesculus parviflora</v>
      </c>
      <c r="B203" s="51" t="str">
        <f ca="1">'Landscape Trees '!C25</f>
        <v>Bottlebrush Buckeye</v>
      </c>
      <c r="C203" s="42" t="str">
        <f ca="1">'Landscape Trees '!D25</f>
        <v>#5</v>
      </c>
      <c r="D203" s="42" t="str">
        <f ca="1">'Landscape Trees '!E25</f>
        <v>Multi</v>
      </c>
      <c r="E203" s="42" t="str">
        <f ca="1">'Landscape Trees '!F25</f>
        <v>2-4.5'</v>
      </c>
      <c r="F203" s="52">
        <f ca="1">'Landscape Trees '!G25</f>
        <v>93</v>
      </c>
      <c r="G203" s="68">
        <f ca="1">'Landscape Trees '!H25*0.9</f>
        <v>45</v>
      </c>
      <c r="H203" s="51" t="str">
        <f t="shared" ca="1" si="0"/>
        <v>Bottlebrush Buckeye #5-2021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'!A26</f>
        <v>Aesculus parviflora</v>
      </c>
      <c r="B204" s="51" t="str">
        <f ca="1">'Landscape Trees '!C26</f>
        <v>Bottlebrush Buckeye</v>
      </c>
      <c r="C204" s="42" t="str">
        <f ca="1">'Landscape Trees '!D26</f>
        <v>#10</v>
      </c>
      <c r="D204" s="42" t="str">
        <f ca="1">'Landscape Trees '!E26</f>
        <v>Multi</v>
      </c>
      <c r="E204" s="42" t="str">
        <f ca="1">'Landscape Trees '!F26</f>
        <v>4.5-5.5'</v>
      </c>
      <c r="F204" s="52">
        <f ca="1">'Landscape Trees '!G26</f>
        <v>17</v>
      </c>
      <c r="G204" s="68">
        <f ca="1">'Landscape Trees '!H26*0.9</f>
        <v>63</v>
      </c>
      <c r="H204" s="51" t="str">
        <f t="shared" ca="1" si="0"/>
        <v>Bottlebrush Buckeye #10-2021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'!A27</f>
        <v>Albizia julibrissin 'E.H.Wilson'</v>
      </c>
      <c r="B205" s="51" t="str">
        <f ca="1">'Landscape Trees '!C27</f>
        <v>Cold Hardy Mimosa</v>
      </c>
      <c r="C205" s="42" t="str">
        <f ca="1">'Landscape Trees '!D27</f>
        <v>#5</v>
      </c>
      <c r="D205" s="42" t="str">
        <f ca="1">'Landscape Trees '!E27</f>
        <v>1.25-1.25"</v>
      </c>
      <c r="E205" s="42" t="str">
        <f ca="1">'Landscape Trees '!F27</f>
        <v>6-8'</v>
      </c>
      <c r="F205" s="52">
        <f ca="1">'Landscape Trees '!G27</f>
        <v>1</v>
      </c>
      <c r="G205" s="68">
        <f ca="1">'Landscape Trees '!H27*0.9</f>
        <v>45</v>
      </c>
      <c r="H205" s="51" t="str">
        <f t="shared" ca="1" si="0"/>
        <v>Cold Hardy Mimosa #5-2021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'!A28</f>
        <v>Amelanchier grandiflora 'Autumn Brilliance'</v>
      </c>
      <c r="B206" s="51" t="str">
        <f ca="1">'Landscape Trees '!C28</f>
        <v>Autumn Brilliance Serviceberry</v>
      </c>
      <c r="C206" s="42" t="str">
        <f ca="1">'Landscape Trees '!D28</f>
        <v>#5</v>
      </c>
      <c r="D206" s="42" t="str">
        <f ca="1">'Landscape Trees '!E28</f>
        <v>Multi</v>
      </c>
      <c r="E206" s="42" t="str">
        <f ca="1">'Landscape Trees '!F28</f>
        <v>3-8'</v>
      </c>
      <c r="F206" s="52">
        <f ca="1">'Landscape Trees '!G28</f>
        <v>81</v>
      </c>
      <c r="G206" s="68">
        <f ca="1">'Landscape Trees '!H28*0.9</f>
        <v>45</v>
      </c>
      <c r="H206" s="51" t="str">
        <f t="shared" ca="1" si="0"/>
        <v>Autumn Brilliance Serviceberry #5-2021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'!A29</f>
        <v>Amelanchier grandiflora 'Autumn Brilliance'</v>
      </c>
      <c r="B207" s="51" t="str">
        <f ca="1">'Landscape Trees '!C29</f>
        <v>Autumn Brilliance Serviceberry</v>
      </c>
      <c r="C207" s="42" t="str">
        <f ca="1">'Landscape Trees '!D29</f>
        <v>#10</v>
      </c>
      <c r="D207" s="42" t="str">
        <f ca="1">'Landscape Trees '!E29</f>
        <v>Multi</v>
      </c>
      <c r="E207" s="42" t="str">
        <f ca="1">'Landscape Trees '!F29</f>
        <v>7-9'</v>
      </c>
      <c r="F207" s="52">
        <f ca="1">'Landscape Trees '!G29</f>
        <v>12</v>
      </c>
      <c r="G207" s="68">
        <f ca="1">'Landscape Trees '!H29*0.9</f>
        <v>90</v>
      </c>
      <c r="H207" s="51" t="str">
        <f t="shared" ca="1" si="0"/>
        <v>Autumn Brilliance Serviceberry #10-2021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'!A30</f>
        <v>Amelanchier laevis</v>
      </c>
      <c r="B208" s="51" t="str">
        <f ca="1">'Landscape Trees '!C30</f>
        <v>Allegheny Serviceberry</v>
      </c>
      <c r="C208" s="42" t="str">
        <f ca="1">'Landscape Trees '!D30</f>
        <v>#5</v>
      </c>
      <c r="D208" s="42" t="str">
        <f ca="1">'Landscape Trees '!E30</f>
        <v>0.25-0.5"</v>
      </c>
      <c r="E208" s="42" t="str">
        <f ca="1">'Landscape Trees '!F30</f>
        <v>3-10'</v>
      </c>
      <c r="F208" s="52">
        <f ca="1">'Landscape Trees '!G30</f>
        <v>40</v>
      </c>
      <c r="G208" s="68">
        <f ca="1">'Landscape Trees '!H30*0.9</f>
        <v>45</v>
      </c>
      <c r="H208" s="51" t="str">
        <f t="shared" ca="1" si="0"/>
        <v>Allegheny Serviceberry #5-2021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'!A31</f>
        <v>Amelanchier laevis</v>
      </c>
      <c r="B209" s="51" t="str">
        <f ca="1">'Landscape Trees '!C31</f>
        <v>Allegheny Serviceberry</v>
      </c>
      <c r="C209" s="42" t="str">
        <f ca="1">'Landscape Trees '!D31</f>
        <v>#5</v>
      </c>
      <c r="D209" s="42" t="str">
        <f ca="1">'Landscape Trees '!E31</f>
        <v>Multi</v>
      </c>
      <c r="E209" s="42" t="str">
        <f ca="1">'Landscape Trees '!F31</f>
        <v>3-10'</v>
      </c>
      <c r="F209" s="52">
        <f ca="1">'Landscape Trees '!G31</f>
        <v>165</v>
      </c>
      <c r="G209" s="68">
        <f ca="1">'Landscape Trees '!H31*0.9</f>
        <v>45</v>
      </c>
      <c r="H209" s="51" t="str">
        <f t="shared" ca="1" si="0"/>
        <v>Allegheny Serviceberry #5-2021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'!A32</f>
        <v>Amelanchier lamarckii</v>
      </c>
      <c r="B210" s="51" t="str">
        <f ca="1">'Landscape Trees '!C32</f>
        <v>Lamarckii Serviceberry</v>
      </c>
      <c r="C210" s="42" t="str">
        <f ca="1">'Landscape Trees '!D32</f>
        <v>#5</v>
      </c>
      <c r="D210" s="42" t="str">
        <f ca="1">'Landscape Trees '!E32</f>
        <v>Multi</v>
      </c>
      <c r="E210" s="42" t="str">
        <f ca="1">'Landscape Trees '!F32</f>
        <v>4-10'</v>
      </c>
      <c r="F210" s="52">
        <f ca="1">'Landscape Trees '!G32</f>
        <v>3</v>
      </c>
      <c r="G210" s="68">
        <f ca="1">'Landscape Trees '!H32*0.9</f>
        <v>45</v>
      </c>
      <c r="H210" s="51" t="str">
        <f t="shared" ca="1" si="0"/>
        <v>Lamarckii Serviceberry #5-2021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'!A33</f>
        <v>Aronia arbutifolia</v>
      </c>
      <c r="B211" s="51" t="str">
        <f ca="1">'Landscape Trees '!C33</f>
        <v>Red Chokeberry</v>
      </c>
      <c r="C211" s="42" t="str">
        <f ca="1">'Landscape Trees '!D33</f>
        <v>#5</v>
      </c>
      <c r="D211" s="42" t="str">
        <f ca="1">'Landscape Trees '!E33</f>
        <v>Multi</v>
      </c>
      <c r="E211" s="42" t="str">
        <f ca="1">'Landscape Trees '!F33</f>
        <v>4-5.5'</v>
      </c>
      <c r="F211" s="52">
        <f ca="1">'Landscape Trees '!G33</f>
        <v>9</v>
      </c>
      <c r="G211" s="68">
        <f ca="1">'Landscape Trees '!H33*0.9</f>
        <v>33.300000000000004</v>
      </c>
      <c r="H211" s="51" t="str">
        <f t="shared" ca="1" si="0"/>
        <v>Red Chokeberry #5-2021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'!A34</f>
        <v>Aronia melanocarpa</v>
      </c>
      <c r="B212" s="51" t="str">
        <f ca="1">'Landscape Trees '!C34</f>
        <v>Black Chokeberry</v>
      </c>
      <c r="C212" s="42" t="str">
        <f ca="1">'Landscape Trees '!D34</f>
        <v>#5</v>
      </c>
      <c r="D212" s="42" t="str">
        <f ca="1">'Landscape Trees '!E34</f>
        <v>Multi</v>
      </c>
      <c r="E212" s="42" t="str">
        <f ca="1">'Landscape Trees '!F34</f>
        <v>2.5-3'</v>
      </c>
      <c r="F212" s="52">
        <f ca="1">'Landscape Trees '!G34</f>
        <v>14</v>
      </c>
      <c r="G212" s="68">
        <f ca="1">'Landscape Trees '!H34*0.9</f>
        <v>33.300000000000004</v>
      </c>
      <c r="H212" s="51" t="str">
        <f t="shared" ca="1" si="0"/>
        <v>Black Chokeberry #5-2021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'!A35</f>
        <v>Asimina triloba</v>
      </c>
      <c r="B213" s="51" t="str">
        <f ca="1">'Landscape Trees '!C35</f>
        <v>Pawpaw</v>
      </c>
      <c r="C213" s="42" t="str">
        <f ca="1">'Landscape Trees '!D35</f>
        <v>#5</v>
      </c>
      <c r="D213" s="42" t="str">
        <f ca="1">'Landscape Trees '!E35</f>
        <v>0.25-0.5"</v>
      </c>
      <c r="E213" s="42" t="str">
        <f ca="1">'Landscape Trees '!F35</f>
        <v>1-4'</v>
      </c>
      <c r="F213" s="52">
        <f ca="1">'Landscape Trees '!G35</f>
        <v>178</v>
      </c>
      <c r="G213" s="68">
        <f ca="1">'Landscape Trees '!H35*0.9</f>
        <v>45</v>
      </c>
      <c r="H213" s="51" t="str">
        <f t="shared" ca="1" si="0"/>
        <v>Pawpaw #5-2021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'!A36</f>
        <v>Betula nigra 'Heritage'</v>
      </c>
      <c r="B214" s="51" t="str">
        <f ca="1">'Landscape Trees '!C36</f>
        <v>Heritage River Birch</v>
      </c>
      <c r="C214" s="42" t="str">
        <f ca="1">'Landscape Trees '!D36</f>
        <v>#5</v>
      </c>
      <c r="D214" s="42" t="str">
        <f ca="1">'Landscape Trees '!E36</f>
        <v>0.25-1.25"</v>
      </c>
      <c r="E214" s="42" t="str">
        <f ca="1">'Landscape Trees '!F36</f>
        <v>4-10'</v>
      </c>
      <c r="F214" s="52">
        <f ca="1">'Landscape Trees '!G36</f>
        <v>125</v>
      </c>
      <c r="G214" s="68">
        <f ca="1">'Landscape Trees '!H36*0.9</f>
        <v>45</v>
      </c>
      <c r="H214" s="51" t="str">
        <f t="shared" ca="1" si="0"/>
        <v>Heritage River Birch #5-2021</v>
      </c>
      <c r="I214" s="54"/>
      <c r="J214" s="55">
        <f t="shared" ca="1" si="2"/>
        <v>0</v>
      </c>
      <c r="K214" s="55"/>
    </row>
    <row r="215" spans="1:11" ht="12.75" hidden="1" x14ac:dyDescent="0.2">
      <c r="A215" s="51" t="str">
        <f ca="1">'Landscape Trees '!A37</f>
        <v>Betula nigra 'Heritage'</v>
      </c>
      <c r="B215" s="51" t="str">
        <f ca="1">'Landscape Trees '!C37</f>
        <v>Clump Heritage River Birch</v>
      </c>
      <c r="C215" s="42" t="str">
        <f ca="1">'Landscape Trees '!D37</f>
        <v>#15</v>
      </c>
      <c r="D215" s="42" t="str">
        <f ca="1">'Landscape Trees '!E37</f>
        <v>Multi</v>
      </c>
      <c r="E215" s="42" t="str">
        <f ca="1">'Landscape Trees '!F37</f>
        <v>6-8'</v>
      </c>
      <c r="F215" s="52">
        <f ca="1">'Landscape Trees '!G37</f>
        <v>1</v>
      </c>
      <c r="G215" s="53">
        <f ca="1">'Landscape Trees '!H37*0.9</f>
        <v>121.5</v>
      </c>
      <c r="H215" s="51" t="str">
        <f t="shared" ca="1" si="0"/>
        <v>Clump Heritage River Birch #15-2021</v>
      </c>
      <c r="I215" s="69"/>
      <c r="J215" s="55">
        <f t="shared" ca="1" si="2"/>
        <v>0</v>
      </c>
      <c r="K215" s="55"/>
    </row>
    <row r="216" spans="1:11" ht="12.75" hidden="1" x14ac:dyDescent="0.2">
      <c r="A216" s="51" t="str">
        <f ca="1">'Landscape Trees '!A38</f>
        <v>Betula populifolia</v>
      </c>
      <c r="B216" s="51" t="str">
        <f ca="1">'Landscape Trees '!C38</f>
        <v>Gray Birch</v>
      </c>
      <c r="C216" s="42" t="str">
        <f ca="1">'Landscape Trees '!D38</f>
        <v>#5</v>
      </c>
      <c r="D216" s="42" t="str">
        <f ca="1">'Landscape Trees '!E38</f>
        <v>0.25-1"</v>
      </c>
      <c r="E216" s="42" t="str">
        <f ca="1">'Landscape Trees '!F38</f>
        <v>2-5'</v>
      </c>
      <c r="F216" s="52">
        <f ca="1">'Landscape Trees '!G38</f>
        <v>36</v>
      </c>
      <c r="G216" s="53">
        <f ca="1">'Landscape Trees '!H38*0.9</f>
        <v>45</v>
      </c>
      <c r="H216" s="51" t="str">
        <f t="shared" ca="1" si="0"/>
        <v>Gray Birch #5-2021</v>
      </c>
      <c r="I216" s="69"/>
      <c r="J216" s="55">
        <f t="shared" ca="1" si="2"/>
        <v>0</v>
      </c>
      <c r="K216" s="55"/>
    </row>
    <row r="217" spans="1:11" ht="12.75" hidden="1" x14ac:dyDescent="0.2">
      <c r="A217" s="51" t="str">
        <f ca="1">'Landscape Trees '!A39</f>
        <v>Carpinus caroliniana</v>
      </c>
      <c r="B217" s="51" t="str">
        <f ca="1">'Landscape Trees '!C39</f>
        <v>American Hornbeam</v>
      </c>
      <c r="C217" s="42" t="str">
        <f ca="1">'Landscape Trees '!D39</f>
        <v>#5</v>
      </c>
      <c r="D217" s="42" t="str">
        <f ca="1">'Landscape Trees '!E39</f>
        <v>0.5-1.5"</v>
      </c>
      <c r="E217" s="42" t="str">
        <f ca="1">'Landscape Trees '!F39</f>
        <v>4-11'</v>
      </c>
      <c r="F217" s="52">
        <f ca="1">'Landscape Trees '!G39</f>
        <v>161</v>
      </c>
      <c r="G217" s="53">
        <f ca="1">'Landscape Trees '!H39*0.9</f>
        <v>45</v>
      </c>
      <c r="H217" s="51" t="str">
        <f t="shared" ca="1" si="0"/>
        <v>American Hornbeam #5-2021</v>
      </c>
      <c r="I217" s="69"/>
      <c r="J217" s="55">
        <f t="shared" ca="1" si="2"/>
        <v>0</v>
      </c>
      <c r="K217" s="55"/>
    </row>
    <row r="218" spans="1:11" ht="12.75" x14ac:dyDescent="0.2">
      <c r="A218" s="51" t="str">
        <f ca="1">'Landscape Trees '!A40</f>
        <v>Carpinus caroliniana</v>
      </c>
      <c r="B218" s="51" t="str">
        <f ca="1">'Landscape Trees '!C40</f>
        <v>American Hornbeam</v>
      </c>
      <c r="C218" s="42" t="str">
        <f ca="1">'Landscape Trees '!D40</f>
        <v>#7</v>
      </c>
      <c r="D218" s="42" t="str">
        <f ca="1">'Landscape Trees '!E40</f>
        <v>1-1.5"</v>
      </c>
      <c r="E218" s="42" t="str">
        <f ca="1">'Landscape Trees '!F40</f>
        <v>7-9'</v>
      </c>
      <c r="F218" s="52">
        <f ca="1">'Landscape Trees '!G40</f>
        <v>33</v>
      </c>
      <c r="G218" s="68">
        <f ca="1">'Landscape Trees '!H40*0.9</f>
        <v>63</v>
      </c>
      <c r="H218" s="51" t="str">
        <f t="shared" ca="1" si="0"/>
        <v>American Hornbeam #7-2021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'!A41</f>
        <v>Carpinus caroliniana</v>
      </c>
      <c r="B219" s="51" t="str">
        <f ca="1">'Landscape Trees '!C41</f>
        <v>American Hornbeam</v>
      </c>
      <c r="C219" s="42" t="str">
        <f ca="1">'Landscape Trees '!D41</f>
        <v>#15</v>
      </c>
      <c r="D219" s="42" t="str">
        <f ca="1">'Landscape Trees '!E41</f>
        <v>0.75-2"</v>
      </c>
      <c r="E219" s="42" t="str">
        <f ca="1">'Landscape Trees '!F41</f>
        <v>7.5-10'</v>
      </c>
      <c r="F219" s="52">
        <f ca="1">'Landscape Trees '!G41</f>
        <v>8</v>
      </c>
      <c r="G219" s="68">
        <f ca="1">'Landscape Trees '!H41*0.9</f>
        <v>121.5</v>
      </c>
      <c r="H219" s="51" t="str">
        <f t="shared" ca="1" si="0"/>
        <v>American Hornbeam #15-2021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'!A42</f>
        <v>Carpinus caroliniana</v>
      </c>
      <c r="B220" s="51" t="str">
        <f ca="1">'Landscape Trees '!C42</f>
        <v>American Hornbeam</v>
      </c>
      <c r="C220" s="42" t="str">
        <f ca="1">'Landscape Trees '!D42</f>
        <v>#10</v>
      </c>
      <c r="D220" s="42" t="str">
        <f ca="1">'Landscape Trees '!E42</f>
        <v>0.5-0.75"</v>
      </c>
      <c r="E220" s="42" t="str">
        <f ca="1">'Landscape Trees '!F42</f>
        <v>4-5.5'</v>
      </c>
      <c r="F220" s="52">
        <f ca="1">'Landscape Trees '!G42</f>
        <v>104</v>
      </c>
      <c r="G220" s="68">
        <f ca="1">'Landscape Trees '!H42*0.9</f>
        <v>90</v>
      </c>
      <c r="H220" s="51" t="str">
        <f t="shared" ca="1" si="0"/>
        <v>American Hornbeam #10-2021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'!A43</f>
        <v>Catalpa bignonioides</v>
      </c>
      <c r="B221" s="51" t="str">
        <f ca="1">'Landscape Trees '!C43</f>
        <v>Southern Catalpa</v>
      </c>
      <c r="C221" s="42" t="str">
        <f ca="1">'Landscape Trees '!D43</f>
        <v>#5</v>
      </c>
      <c r="D221" s="42" t="str">
        <f ca="1">'Landscape Trees '!E43</f>
        <v>0.25-1.25"</v>
      </c>
      <c r="E221" s="42" t="str">
        <f ca="1">'Landscape Trees '!F43</f>
        <v>2-6'</v>
      </c>
      <c r="F221" s="52">
        <f ca="1">'Landscape Trees '!G43</f>
        <v>17</v>
      </c>
      <c r="G221" s="68">
        <f ca="1">'Landscape Trees '!H43*0.9</f>
        <v>45</v>
      </c>
      <c r="H221" s="51" t="str">
        <f t="shared" ca="1" si="0"/>
        <v>Southern Catalpa #5-2021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'!A44</f>
        <v>Catalpa speciosa</v>
      </c>
      <c r="B222" s="51" t="str">
        <f ca="1">'Landscape Trees '!C44</f>
        <v>Northern Catalpa</v>
      </c>
      <c r="C222" s="42" t="str">
        <f ca="1">'Landscape Trees '!D44</f>
        <v>#5</v>
      </c>
      <c r="D222" s="42" t="str">
        <f ca="1">'Landscape Trees '!E44</f>
        <v>0.25-0.5"</v>
      </c>
      <c r="E222" s="42" t="str">
        <f ca="1">'Landscape Trees '!F44</f>
        <v>2-3'</v>
      </c>
      <c r="F222" s="52">
        <f ca="1">'Landscape Trees '!G44</f>
        <v>19</v>
      </c>
      <c r="G222" s="68">
        <f ca="1">'Landscape Trees '!H44*0.9</f>
        <v>45</v>
      </c>
      <c r="H222" s="51" t="str">
        <f t="shared" ca="1" si="0"/>
        <v>Northern Catalpa #5-2021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'!A45</f>
        <v>Celtis laevigata</v>
      </c>
      <c r="B223" s="51" t="str">
        <f ca="1">'Landscape Trees '!C45</f>
        <v>Sugarberry</v>
      </c>
      <c r="C223" s="42" t="str">
        <f ca="1">'Landscape Trees '!D45</f>
        <v>#5</v>
      </c>
      <c r="D223" s="42" t="str">
        <f ca="1">'Landscape Trees '!E45</f>
        <v>0.75-1.25"</v>
      </c>
      <c r="E223" s="42" t="str">
        <f ca="1">'Landscape Trees '!F45</f>
        <v>5-9'</v>
      </c>
      <c r="F223" s="52">
        <f ca="1">'Landscape Trees '!G45</f>
        <v>46</v>
      </c>
      <c r="G223" s="68">
        <f ca="1">'Landscape Trees '!H45*0.9</f>
        <v>45</v>
      </c>
      <c r="H223" s="51" t="str">
        <f t="shared" ca="1" si="0"/>
        <v>Sugarberry #5-2021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'!A46</f>
        <v>Celtis occidentalis</v>
      </c>
      <c r="B224" s="51" t="str">
        <f ca="1">'Landscape Trees '!C46</f>
        <v>Hackberry</v>
      </c>
      <c r="C224" s="42" t="str">
        <f ca="1">'Landscape Trees '!D46</f>
        <v>#5</v>
      </c>
      <c r="D224" s="42" t="str">
        <f ca="1">'Landscape Trees '!E46</f>
        <v>0.5-1.5"</v>
      </c>
      <c r="E224" s="42" t="str">
        <f ca="1">'Landscape Trees '!F46</f>
        <v>4-12'</v>
      </c>
      <c r="F224" s="52">
        <f ca="1">'Landscape Trees '!G46</f>
        <v>178</v>
      </c>
      <c r="G224" s="68">
        <f ca="1">'Landscape Trees '!H46*0.9</f>
        <v>45</v>
      </c>
      <c r="H224" s="51" t="str">
        <f t="shared" ca="1" si="0"/>
        <v>Hackberry #5-2021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'!A47</f>
        <v>Celtis occidentalis</v>
      </c>
      <c r="B225" s="51" t="str">
        <f ca="1">'Landscape Trees '!C47</f>
        <v>Hackberry</v>
      </c>
      <c r="C225" s="42" t="str">
        <f ca="1">'Landscape Trees '!D47</f>
        <v>#7</v>
      </c>
      <c r="D225" s="42" t="str">
        <f ca="1">'Landscape Trees '!E47</f>
        <v>0.25-0.5"</v>
      </c>
      <c r="E225" s="42" t="str">
        <f ca="1">'Landscape Trees '!F47</f>
        <v>2.5-4'</v>
      </c>
      <c r="F225" s="52">
        <f ca="1">'Landscape Trees '!G47</f>
        <v>18</v>
      </c>
      <c r="G225" s="68">
        <f ca="1">'Landscape Trees '!H47*0.9</f>
        <v>63</v>
      </c>
      <c r="H225" s="51" t="str">
        <f t="shared" ca="1" si="0"/>
        <v>Hackberry #7-2021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'!A48</f>
        <v>Cephalanthus occidentalis</v>
      </c>
      <c r="B226" s="51" t="str">
        <f ca="1">'Landscape Trees '!C48</f>
        <v>Buttonbush</v>
      </c>
      <c r="C226" s="42" t="str">
        <f ca="1">'Landscape Trees '!D48</f>
        <v>#5</v>
      </c>
      <c r="D226" s="42" t="str">
        <f ca="1">'Landscape Trees '!E48</f>
        <v>Multi</v>
      </c>
      <c r="E226" s="42" t="str">
        <f ca="1">'Landscape Trees '!F48</f>
        <v>2-6'</v>
      </c>
      <c r="F226" s="52">
        <f ca="1">'Landscape Trees '!G48</f>
        <v>94</v>
      </c>
      <c r="G226" s="68">
        <f ca="1">'Landscape Trees '!H48*0.9</f>
        <v>33.300000000000004</v>
      </c>
      <c r="H226" s="51" t="str">
        <f t="shared" ca="1" si="0"/>
        <v>Buttonbush #5-2021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'!A49</f>
        <v>Cercidiphyllum japonicum</v>
      </c>
      <c r="B227" s="51" t="str">
        <f ca="1">'Landscape Trees '!C49</f>
        <v>Katsura</v>
      </c>
      <c r="C227" s="42" t="str">
        <f ca="1">'Landscape Trees '!D49</f>
        <v>#5</v>
      </c>
      <c r="D227" s="42" t="str">
        <f ca="1">'Landscape Trees '!E49</f>
        <v>0.5-0.75"</v>
      </c>
      <c r="E227" s="42" t="str">
        <f ca="1">'Landscape Trees '!F49</f>
        <v>3-6'</v>
      </c>
      <c r="F227" s="52">
        <f ca="1">'Landscape Trees '!G49</f>
        <v>22</v>
      </c>
      <c r="G227" s="68">
        <f ca="1">'Landscape Trees '!H49*0.9</f>
        <v>45</v>
      </c>
      <c r="H227" s="51" t="str">
        <f t="shared" ca="1" si="0"/>
        <v>Katsura #5-2021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'!A50</f>
        <v>Cercis alba</v>
      </c>
      <c r="B228" s="51" t="str">
        <f ca="1">'Landscape Trees '!C50</f>
        <v>Whitebud</v>
      </c>
      <c r="C228" s="42" t="str">
        <f ca="1">'Landscape Trees '!D50</f>
        <v>#7</v>
      </c>
      <c r="D228" s="42" t="str">
        <f ca="1">'Landscape Trees '!E50</f>
        <v>0.5-0.75"</v>
      </c>
      <c r="E228" s="42" t="str">
        <f ca="1">'Landscape Trees '!F50</f>
        <v>5-7'</v>
      </c>
      <c r="F228" s="52">
        <f ca="1">'Landscape Trees '!G50</f>
        <v>7</v>
      </c>
      <c r="G228" s="68">
        <f ca="1">'Landscape Trees '!H50*0.9</f>
        <v>90</v>
      </c>
      <c r="H228" s="51" t="str">
        <f t="shared" ca="1" si="0"/>
        <v>Whitebud #7-2021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'!A51</f>
        <v>Cercis canadensis</v>
      </c>
      <c r="B229" s="51" t="str">
        <f ca="1">'Landscape Trees '!C51</f>
        <v>Eastern Redbud</v>
      </c>
      <c r="C229" s="42" t="str">
        <f ca="1">'Landscape Trees '!D51</f>
        <v>#5</v>
      </c>
      <c r="D229" s="42" t="str">
        <f ca="1">'Landscape Trees '!E51</f>
        <v>0.25-1"</v>
      </c>
      <c r="E229" s="42" t="str">
        <f ca="1">'Landscape Trees '!F51</f>
        <v>3-8'</v>
      </c>
      <c r="F229" s="52">
        <f ca="1">'Landscape Trees '!G51</f>
        <v>123</v>
      </c>
      <c r="G229" s="68">
        <f ca="1">'Landscape Trees '!H51*0.9</f>
        <v>45</v>
      </c>
      <c r="H229" s="51" t="str">
        <f t="shared" ca="1" si="0"/>
        <v>Eastern Redbud #5-2021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'!A52</f>
        <v>Cercis canadensis</v>
      </c>
      <c r="B230" s="51" t="str">
        <f ca="1">'Landscape Trees '!C52</f>
        <v>Eastern Redbud</v>
      </c>
      <c r="C230" s="42" t="str">
        <f ca="1">'Landscape Trees '!D52</f>
        <v>#10</v>
      </c>
      <c r="D230" s="42" t="str">
        <f ca="1">'Landscape Trees '!E52</f>
        <v>0.5-1.25"</v>
      </c>
      <c r="E230" s="42" t="str">
        <f ca="1">'Landscape Trees '!F52</f>
        <v>6-8'</v>
      </c>
      <c r="F230" s="52">
        <f ca="1">'Landscape Trees '!G52</f>
        <v>63</v>
      </c>
      <c r="G230" s="68">
        <f ca="1">'Landscape Trees '!H52*0.9</f>
        <v>90</v>
      </c>
      <c r="H230" s="51" t="str">
        <f t="shared" ca="1" si="0"/>
        <v>Eastern Redbud #10-2021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'!A53</f>
        <v>Cercis canadensis</v>
      </c>
      <c r="B231" s="51" t="str">
        <f ca="1">'Landscape Trees '!C53</f>
        <v>Eastern Redbud</v>
      </c>
      <c r="C231" s="42" t="str">
        <f ca="1">'Landscape Trees '!D53</f>
        <v>#15</v>
      </c>
      <c r="D231" s="42" t="str">
        <f ca="1">'Landscape Trees '!E53</f>
        <v>1-1.25"</v>
      </c>
      <c r="E231" s="42" t="str">
        <f ca="1">'Landscape Trees '!F53</f>
        <v>8-12'</v>
      </c>
      <c r="F231" s="52">
        <f ca="1">'Landscape Trees '!G53</f>
        <v>17</v>
      </c>
      <c r="G231" s="68">
        <f ca="1">'Landscape Trees '!H53*0.9</f>
        <v>121.5</v>
      </c>
      <c r="H231" s="51" t="str">
        <f t="shared" ca="1" si="0"/>
        <v>Eastern Redbud #15-2021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'!A54</f>
        <v>Cercis canadensis 'Appalachian Red'</v>
      </c>
      <c r="B232" s="51" t="str">
        <f ca="1">'Landscape Trees '!C54</f>
        <v>Appalachian Red Redbud</v>
      </c>
      <c r="C232" s="42" t="str">
        <f ca="1">'Landscape Trees '!D54</f>
        <v>#15</v>
      </c>
      <c r="D232" s="42" t="str">
        <f ca="1">'Landscape Trees '!E54</f>
        <v>0.75-1.25"</v>
      </c>
      <c r="E232" s="42" t="str">
        <f ca="1">'Landscape Trees '!F54</f>
        <v>6-10'</v>
      </c>
      <c r="F232" s="52">
        <f ca="1">'Landscape Trees '!G54</f>
        <v>7</v>
      </c>
      <c r="G232" s="68">
        <f ca="1">'Landscape Trees '!H54*0.9</f>
        <v>121.5</v>
      </c>
      <c r="H232" s="51" t="str">
        <f t="shared" ca="1" si="0"/>
        <v>Appalachian Red Redbud #15-2021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'!A55</f>
        <v>Cercis canadensis 'Forest Pansy'</v>
      </c>
      <c r="B233" s="51" t="str">
        <f ca="1">'Landscape Trees '!C55</f>
        <v>Forest Pansy Redbud</v>
      </c>
      <c r="C233" s="42" t="str">
        <f ca="1">'Landscape Trees '!D55</f>
        <v>#10</v>
      </c>
      <c r="D233" s="42" t="str">
        <f ca="1">'Landscape Trees '!E55</f>
        <v>0.75-1.5"</v>
      </c>
      <c r="E233" s="42" t="str">
        <f ca="1">'Landscape Trees '!F55</f>
        <v>5-9'</v>
      </c>
      <c r="F233" s="52">
        <f ca="1">'Landscape Trees '!G55</f>
        <v>38</v>
      </c>
      <c r="G233" s="68">
        <f ca="1">'Landscape Trees '!H55*0.9</f>
        <v>90</v>
      </c>
      <c r="H233" s="51" t="str">
        <f t="shared" ca="1" si="0"/>
        <v>Forest Pansy Redbud #10-2021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'!A56</f>
        <v>Cercis canadensis 'Hearts of Gold'</v>
      </c>
      <c r="B234" s="51" t="str">
        <f ca="1">'Landscape Trees '!C56</f>
        <v>Hearts of Gold Redbud</v>
      </c>
      <c r="C234" s="42" t="str">
        <f ca="1">'Landscape Trees '!D56</f>
        <v>#15</v>
      </c>
      <c r="D234" s="42" t="str">
        <f ca="1">'Landscape Trees '!E56</f>
        <v>0.75-1"</v>
      </c>
      <c r="E234" s="42" t="str">
        <f ca="1">'Landscape Trees '!F56</f>
        <v>6.5-7'</v>
      </c>
      <c r="F234" s="52">
        <f ca="1">'Landscape Trees '!G56</f>
        <v>5</v>
      </c>
      <c r="G234" s="68">
        <f ca="1">'Landscape Trees '!H56*0.9</f>
        <v>121.5</v>
      </c>
      <c r="H234" s="51" t="str">
        <f t="shared" ca="1" si="0"/>
        <v>Hearts of Gold Redbud #15-2021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'!A57</f>
        <v>Cercis canadensis 'Lavender Twist'</v>
      </c>
      <c r="B235" s="51" t="str">
        <f ca="1">'Landscape Trees '!C57</f>
        <v>Lavender Twist Redbud</v>
      </c>
      <c r="C235" s="42" t="str">
        <f ca="1">'Landscape Trees '!D57</f>
        <v>#5</v>
      </c>
      <c r="D235" s="42" t="str">
        <f ca="1">'Landscape Trees '!E57</f>
        <v>0.5-1"</v>
      </c>
      <c r="E235" s="42" t="str">
        <f ca="1">'Landscape Trees '!F57</f>
        <v>3-5'</v>
      </c>
      <c r="F235" s="52">
        <f ca="1">'Landscape Trees '!G57</f>
        <v>23</v>
      </c>
      <c r="G235" s="68">
        <f ca="1">'Landscape Trees '!H57*0.9</f>
        <v>90</v>
      </c>
      <c r="H235" s="51" t="str">
        <f t="shared" ca="1" si="0"/>
        <v>Lavender Twist Redbud #5-2021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'!A58</f>
        <v>Cercis canadensis 'Ruby Falls'</v>
      </c>
      <c r="B236" s="51" t="str">
        <f ca="1">'Landscape Trees '!C58</f>
        <v>Ruby Falls Redbud</v>
      </c>
      <c r="C236" s="42" t="str">
        <f ca="1">'Landscape Trees '!D58</f>
        <v>#10</v>
      </c>
      <c r="D236" s="42" t="str">
        <f ca="1">'Landscape Trees '!E58</f>
        <v>0.75-1"</v>
      </c>
      <c r="E236" s="42" t="str">
        <f ca="1">'Landscape Trees '!F58</f>
        <v>5.5-6.5'</v>
      </c>
      <c r="F236" s="52">
        <f ca="1">'Landscape Trees '!G58</f>
        <v>2</v>
      </c>
      <c r="G236" s="68">
        <f ca="1">'Landscape Trees '!H58*0.9</f>
        <v>121.5</v>
      </c>
      <c r="H236" s="51" t="str">
        <f t="shared" ca="1" si="0"/>
        <v>Ruby Falls Redbud #10-2021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'!A59</f>
        <v>Cladastris kentuckea 'Perkins Pink'</v>
      </c>
      <c r="B237" s="51" t="str">
        <f ca="1">'Landscape Trees '!C59</f>
        <v>Perkins Pink Yellowwood</v>
      </c>
      <c r="C237" s="42" t="str">
        <f ca="1">'Landscape Trees '!D59</f>
        <v>#15</v>
      </c>
      <c r="D237" s="42" t="str">
        <f ca="1">'Landscape Trees '!E59</f>
        <v>0.75-1.5"</v>
      </c>
      <c r="E237" s="42" t="str">
        <f ca="1">'Landscape Trees '!F59</f>
        <v>8-10'</v>
      </c>
      <c r="F237" s="52">
        <f ca="1">'Landscape Trees '!G59</f>
        <v>1</v>
      </c>
      <c r="G237" s="68">
        <f ca="1">'Landscape Trees '!H59*0.9</f>
        <v>121.5</v>
      </c>
      <c r="H237" s="51" t="str">
        <f t="shared" ca="1" si="0"/>
        <v>Perkins Pink Yellowwood #15-2021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'!A60</f>
        <v>Cladrastis kentukea</v>
      </c>
      <c r="B238" s="51" t="str">
        <f ca="1">'Landscape Trees '!C60</f>
        <v>Yellowwood</v>
      </c>
      <c r="C238" s="42" t="str">
        <f ca="1">'Landscape Trees '!D60</f>
        <v>#5</v>
      </c>
      <c r="D238" s="42" t="str">
        <f ca="1">'Landscape Trees '!E60</f>
        <v>0.5-1"</v>
      </c>
      <c r="E238" s="42" t="str">
        <f ca="1">'Landscape Trees '!F60</f>
        <v>4-8'</v>
      </c>
      <c r="F238" s="52">
        <f ca="1">'Landscape Trees '!G60</f>
        <v>73</v>
      </c>
      <c r="G238" s="68">
        <f ca="1">'Landscape Trees '!H60*0.9</f>
        <v>45</v>
      </c>
      <c r="H238" s="51" t="str">
        <f t="shared" ca="1" si="0"/>
        <v>Yellowwood #5-2021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'!A61</f>
        <v>Cladrastis kentukea</v>
      </c>
      <c r="B239" s="51" t="str">
        <f ca="1">'Landscape Trees '!C61</f>
        <v>Yellowwood</v>
      </c>
      <c r="C239" s="42" t="str">
        <f ca="1">'Landscape Trees '!D61</f>
        <v>#15</v>
      </c>
      <c r="D239" s="42" t="str">
        <f ca="1">'Landscape Trees '!E61</f>
        <v>1-1.75"</v>
      </c>
      <c r="E239" s="42" t="str">
        <f ca="1">'Landscape Trees '!F61</f>
        <v>8-10'</v>
      </c>
      <c r="F239" s="52">
        <f ca="1">'Landscape Trees '!G61</f>
        <v>4</v>
      </c>
      <c r="G239" s="68">
        <f ca="1">'Landscape Trees '!H61*0.9</f>
        <v>121.5</v>
      </c>
      <c r="H239" s="51" t="str">
        <f t="shared" ca="1" si="0"/>
        <v>Yellowwood #15-2021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'!A62</f>
        <v xml:space="preserve">Cornus 'Rutdan' Celestial </v>
      </c>
      <c r="B240" s="51" t="str">
        <f ca="1">'Landscape Trees '!C62</f>
        <v>Celestial Dogwood</v>
      </c>
      <c r="C240" s="42" t="str">
        <f ca="1">'Landscape Trees '!D62</f>
        <v>#10</v>
      </c>
      <c r="D240" s="42" t="str">
        <f ca="1">'Landscape Trees '!E62</f>
        <v>0.5-1.25"</v>
      </c>
      <c r="E240" s="42" t="str">
        <f ca="1">'Landscape Trees '!F62</f>
        <v>4-10'</v>
      </c>
      <c r="F240" s="52">
        <f ca="1">'Landscape Trees '!G62</f>
        <v>18</v>
      </c>
      <c r="G240" s="68">
        <f ca="1">'Landscape Trees '!H62*0.9</f>
        <v>90</v>
      </c>
      <c r="H240" s="51" t="str">
        <f t="shared" ca="1" si="0"/>
        <v>Celestial Dogwood #10-2021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'!A63</f>
        <v>Cornus alternifolia</v>
      </c>
      <c r="B241" s="51" t="str">
        <f ca="1">'Landscape Trees '!C63</f>
        <v>Pagoda Dogwood</v>
      </c>
      <c r="C241" s="42" t="str">
        <f ca="1">'Landscape Trees '!D63</f>
        <v>#5</v>
      </c>
      <c r="D241" s="42" t="str">
        <f ca="1">'Landscape Trees '!E63</f>
        <v>0.25-0.5"</v>
      </c>
      <c r="E241" s="42" t="str">
        <f ca="1">'Landscape Trees '!F63</f>
        <v>2-5.5'</v>
      </c>
      <c r="F241" s="52">
        <f ca="1">'Landscape Trees '!G63</f>
        <v>182</v>
      </c>
      <c r="G241" s="68">
        <f ca="1">'Landscape Trees '!H63*0.9</f>
        <v>45</v>
      </c>
      <c r="H241" s="51" t="str">
        <f t="shared" ca="1" si="0"/>
        <v>Pagoda Dogwood #5-2021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'!A64</f>
        <v>Cornus amomum</v>
      </c>
      <c r="B242" s="51" t="str">
        <f ca="1">'Landscape Trees '!C64</f>
        <v>Silky Dogwood</v>
      </c>
      <c r="C242" s="42" t="str">
        <f ca="1">'Landscape Trees '!D64</f>
        <v>#5</v>
      </c>
      <c r="D242" s="42" t="str">
        <f ca="1">'Landscape Trees '!E64</f>
        <v>Multi</v>
      </c>
      <c r="E242" s="42" t="str">
        <f ca="1">'Landscape Trees '!F64</f>
        <v>1.5-4.5'</v>
      </c>
      <c r="F242" s="52">
        <f ca="1">'Landscape Trees '!G64</f>
        <v>7</v>
      </c>
      <c r="G242" s="68">
        <f ca="1">'Landscape Trees '!H64*0.9</f>
        <v>33.300000000000004</v>
      </c>
      <c r="H242" s="51" t="str">
        <f t="shared" ca="1" si="0"/>
        <v>Silky Dogwood #5-2021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'!A65</f>
        <v>Cornus florida</v>
      </c>
      <c r="B243" s="51" t="str">
        <f ca="1">'Landscape Trees '!C65</f>
        <v>White Dogwood</v>
      </c>
      <c r="C243" s="42" t="str">
        <f ca="1">'Landscape Trees '!D65</f>
        <v>#5</v>
      </c>
      <c r="D243" s="42" t="str">
        <f ca="1">'Landscape Trees '!E65</f>
        <v>0.25-1"</v>
      </c>
      <c r="E243" s="42" t="str">
        <f ca="1">'Landscape Trees '!F65</f>
        <v>2-7'</v>
      </c>
      <c r="F243" s="52">
        <f ca="1">'Landscape Trees '!G65</f>
        <v>139</v>
      </c>
      <c r="G243" s="68">
        <f ca="1">'Landscape Trees '!H65*0.9</f>
        <v>45</v>
      </c>
      <c r="H243" s="51" t="str">
        <f t="shared" ca="1" si="0"/>
        <v>White Dogwood #5-2021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'!A66</f>
        <v>Cornus florida</v>
      </c>
      <c r="B244" s="51" t="str">
        <f ca="1">'Landscape Trees '!C66</f>
        <v>White Dogwood</v>
      </c>
      <c r="C244" s="42" t="str">
        <f ca="1">'Landscape Trees '!D66</f>
        <v>#7</v>
      </c>
      <c r="D244" s="42" t="str">
        <f ca="1">'Landscape Trees '!E66</f>
        <v>0.75-1"</v>
      </c>
      <c r="E244" s="42" t="str">
        <f ca="1">'Landscape Trees '!F66</f>
        <v>4-7'</v>
      </c>
      <c r="F244" s="52">
        <f ca="1">'Landscape Trees '!G66</f>
        <v>121</v>
      </c>
      <c r="G244" s="68">
        <f ca="1">'Landscape Trees '!H66*0.9</f>
        <v>63</v>
      </c>
      <c r="H244" s="51" t="str">
        <f t="shared" ca="1" si="0"/>
        <v>White Dogwood #7-2021</v>
      </c>
      <c r="I244" s="54"/>
      <c r="J244" s="55">
        <f t="shared" ca="1" si="2"/>
        <v>0</v>
      </c>
      <c r="K244" s="55"/>
    </row>
    <row r="245" spans="1:11" ht="12.75" hidden="1" x14ac:dyDescent="0.2">
      <c r="A245" s="51" t="str">
        <f ca="1">'Landscape Trees '!A67</f>
        <v>Cornus florida 'Cherokee Brave'</v>
      </c>
      <c r="B245" s="51" t="str">
        <f ca="1">'Landscape Trees '!C67</f>
        <v>Cherokee Brave Dogwood</v>
      </c>
      <c r="C245" s="42" t="str">
        <f ca="1">'Landscape Trees '!D67</f>
        <v>#5</v>
      </c>
      <c r="D245" s="42" t="str">
        <f ca="1">'Landscape Trees '!E67</f>
        <v>0.25-1"</v>
      </c>
      <c r="E245" s="42" t="str">
        <f ca="1">'Landscape Trees '!F67</f>
        <v>3-5.5'</v>
      </c>
      <c r="F245" s="52">
        <f ca="1">'Landscape Trees '!G67</f>
        <v>36</v>
      </c>
      <c r="G245" s="53">
        <f ca="1">'Landscape Trees '!H67*0.9</f>
        <v>45</v>
      </c>
      <c r="H245" s="51" t="str">
        <f t="shared" ca="1" si="0"/>
        <v>Cherokee Brave Dogwood #5-2021</v>
      </c>
      <c r="I245" s="69"/>
      <c r="J245" s="55">
        <f t="shared" ca="1" si="2"/>
        <v>0</v>
      </c>
      <c r="K245" s="55"/>
    </row>
    <row r="246" spans="1:11" ht="12.75" x14ac:dyDescent="0.2">
      <c r="A246" s="51" t="str">
        <f ca="1">'Landscape Trees '!A68</f>
        <v>Cornus kousa</v>
      </c>
      <c r="B246" s="51" t="str">
        <f ca="1">'Landscape Trees '!C68</f>
        <v>Kousa Dogwood</v>
      </c>
      <c r="C246" s="42" t="str">
        <f ca="1">'Landscape Trees '!D68</f>
        <v>#10</v>
      </c>
      <c r="D246" s="42" t="str">
        <f ca="1">'Landscape Trees '!E68</f>
        <v>1.5-1.5"</v>
      </c>
      <c r="E246" s="42" t="str">
        <f ca="1">'Landscape Trees '!F68</f>
        <v>7-7'</v>
      </c>
      <c r="F246" s="52">
        <f ca="1">'Landscape Trees '!G68</f>
        <v>1</v>
      </c>
      <c r="G246" s="68">
        <f ca="1">'Landscape Trees '!H68*0.9</f>
        <v>90</v>
      </c>
      <c r="H246" s="51" t="str">
        <f t="shared" ca="1" si="0"/>
        <v>Kousa Dogwood #10-2021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'!A69</f>
        <v>Cornus kousa</v>
      </c>
      <c r="B247" s="51" t="str">
        <f ca="1">'Landscape Trees '!C69</f>
        <v>Kousa Dogwood</v>
      </c>
      <c r="C247" s="42" t="str">
        <f ca="1">'Landscape Trees '!D69</f>
        <v>#15</v>
      </c>
      <c r="D247" s="42" t="str">
        <f ca="1">'Landscape Trees '!E69</f>
        <v>0.75-1"</v>
      </c>
      <c r="E247" s="42" t="str">
        <f ca="1">'Landscape Trees '!F69</f>
        <v>5-7'</v>
      </c>
      <c r="F247" s="52">
        <f ca="1">'Landscape Trees '!G69</f>
        <v>14</v>
      </c>
      <c r="G247" s="68">
        <f ca="1">'Landscape Trees '!H69*0.9</f>
        <v>121.5</v>
      </c>
      <c r="H247" s="51" t="str">
        <f t="shared" ca="1" si="0"/>
        <v>Kousa Dogwood #15-2021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'!A70</f>
        <v>Cornus kousa 'Rutpink'</v>
      </c>
      <c r="B248" s="51" t="str">
        <f ca="1">'Landscape Trees '!C70</f>
        <v>Scarlet Fire Dogwood</v>
      </c>
      <c r="C248" s="42" t="str">
        <f ca="1">'Landscape Trees '!D70</f>
        <v>#7</v>
      </c>
      <c r="D248" s="42" t="str">
        <f ca="1">'Landscape Trees '!E70</f>
        <v>0.5-1.25"</v>
      </c>
      <c r="E248" s="42" t="str">
        <f ca="1">'Landscape Trees '!F70</f>
        <v>4-9'</v>
      </c>
      <c r="F248" s="52">
        <f ca="1">'Landscape Trees '!G70</f>
        <v>51</v>
      </c>
      <c r="G248" s="68">
        <f ca="1">'Landscape Trees '!H70*0.9</f>
        <v>63</v>
      </c>
      <c r="H248" s="51" t="str">
        <f t="shared" ca="1" si="0"/>
        <v>Scarlet Fire Dogwood #7-2021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'!A71</f>
        <v>Cornus kousa 'Rutpink'</v>
      </c>
      <c r="B249" s="51" t="str">
        <f ca="1">'Landscape Trees '!C71</f>
        <v>Scarlet Fire Dogwood</v>
      </c>
      <c r="C249" s="42" t="str">
        <f ca="1">'Landscape Trees '!D71</f>
        <v>#10</v>
      </c>
      <c r="D249" s="42" t="str">
        <f ca="1">'Landscape Trees '!E71</f>
        <v>1.25-1.5"</v>
      </c>
      <c r="E249" s="42" t="str">
        <f ca="1">'Landscape Trees '!F71</f>
        <v>6.5-9.5'</v>
      </c>
      <c r="F249" s="52">
        <f ca="1">'Landscape Trees '!G71</f>
        <v>1</v>
      </c>
      <c r="G249" s="68">
        <f ca="1">'Landscape Trees '!H71*0.9</f>
        <v>90</v>
      </c>
      <c r="H249" s="51" t="str">
        <f t="shared" ca="1" si="0"/>
        <v>Scarlet Fire Dogwood #10-2021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'!A72</f>
        <v>Cornus racemosa</v>
      </c>
      <c r="B250" s="51" t="str">
        <f ca="1">'Landscape Trees '!C72</f>
        <v>Gray Dogwood</v>
      </c>
      <c r="C250" s="42" t="str">
        <f ca="1">'Landscape Trees '!D72</f>
        <v>#5</v>
      </c>
      <c r="D250" s="42" t="str">
        <f ca="1">'Landscape Trees '!E72</f>
        <v>0.25-0.25"</v>
      </c>
      <c r="E250" s="42" t="str">
        <f ca="1">'Landscape Trees '!F72</f>
        <v>2-3.5'</v>
      </c>
      <c r="F250" s="52">
        <f ca="1">'Landscape Trees '!G72</f>
        <v>10</v>
      </c>
      <c r="G250" s="68">
        <f ca="1">'Landscape Trees '!H72*0.9</f>
        <v>33.300000000000004</v>
      </c>
      <c r="H250" s="51" t="str">
        <f t="shared" ca="1" si="0"/>
        <v>Gray Dogwood #5-2021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'!A73</f>
        <v>Cornus racemosa</v>
      </c>
      <c r="B251" s="51" t="str">
        <f ca="1">'Landscape Trees '!C73</f>
        <v>Gray Dogwood</v>
      </c>
      <c r="C251" s="42" t="str">
        <f ca="1">'Landscape Trees '!D73</f>
        <v>#5</v>
      </c>
      <c r="D251" s="42" t="str">
        <f ca="1">'Landscape Trees '!E73</f>
        <v>Multi</v>
      </c>
      <c r="E251" s="42" t="str">
        <f ca="1">'Landscape Trees '!F73</f>
        <v>2-3.5'</v>
      </c>
      <c r="F251" s="52">
        <f ca="1">'Landscape Trees '!G73</f>
        <v>1</v>
      </c>
      <c r="G251" s="68">
        <f ca="1">'Landscape Trees '!H73*0.9</f>
        <v>33.300000000000004</v>
      </c>
      <c r="H251" s="51" t="str">
        <f t="shared" ca="1" si="0"/>
        <v>Gray Dogwood #5-2021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'!A74</f>
        <v>Cornus sericea</v>
      </c>
      <c r="B252" s="51" t="str">
        <f ca="1">'Landscape Trees '!C74</f>
        <v>Red Twig Dogwood</v>
      </c>
      <c r="C252" s="42" t="str">
        <f ca="1">'Landscape Trees '!D74</f>
        <v>#5</v>
      </c>
      <c r="D252" s="42" t="str">
        <f ca="1">'Landscape Trees '!E74</f>
        <v>0.5-0.5"</v>
      </c>
      <c r="E252" s="42" t="str">
        <f ca="1">'Landscape Trees '!F74</f>
        <v>2-3.5'</v>
      </c>
      <c r="F252" s="52">
        <f ca="1">'Landscape Trees '!G74</f>
        <v>1</v>
      </c>
      <c r="G252" s="68">
        <f ca="1">'Landscape Trees '!H74*0.9</f>
        <v>33.300000000000004</v>
      </c>
      <c r="H252" s="51" t="str">
        <f t="shared" ca="1" si="0"/>
        <v>Red Twig Dogwood #5-2021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'!A75</f>
        <v>Cornus sericea</v>
      </c>
      <c r="B253" s="51" t="str">
        <f ca="1">'Landscape Trees '!C75</f>
        <v>Red Twig Dogwood</v>
      </c>
      <c r="C253" s="42" t="str">
        <f ca="1">'Landscape Trees '!D75</f>
        <v>#5</v>
      </c>
      <c r="D253" s="42" t="str">
        <f ca="1">'Landscape Trees '!E75</f>
        <v>Multi</v>
      </c>
      <c r="E253" s="42" t="str">
        <f ca="1">'Landscape Trees '!F75</f>
        <v>2-3.5'</v>
      </c>
      <c r="F253" s="52">
        <f ca="1">'Landscape Trees '!G75</f>
        <v>19</v>
      </c>
      <c r="G253" s="68">
        <f ca="1">'Landscape Trees '!H75*0.9</f>
        <v>33.300000000000004</v>
      </c>
      <c r="H253" s="51" t="str">
        <f t="shared" ca="1" si="0"/>
        <v>Red Twig Dogwood #5-2021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'!A76</f>
        <v>Cornus x 'Rutgan' Stellar Pink</v>
      </c>
      <c r="B254" s="51" t="str">
        <f ca="1">'Landscape Trees '!C76</f>
        <v>Stellar Pink Dogwood</v>
      </c>
      <c r="C254" s="42" t="str">
        <f ca="1">'Landscape Trees '!D76</f>
        <v>#10</v>
      </c>
      <c r="D254" s="42" t="str">
        <f ca="1">'Landscape Trees '!E76</f>
        <v>0.5-1.75"</v>
      </c>
      <c r="E254" s="42" t="str">
        <f ca="1">'Landscape Trees '!F76</f>
        <v>3.5-11'</v>
      </c>
      <c r="F254" s="52">
        <f ca="1">'Landscape Trees '!G76</f>
        <v>22</v>
      </c>
      <c r="G254" s="68">
        <f ca="1">'Landscape Trees '!H76*0.9</f>
        <v>90</v>
      </c>
      <c r="H254" s="51" t="str">
        <f t="shared" ca="1" si="0"/>
        <v>Stellar Pink Dogwood #10-2021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'!A77</f>
        <v>Cornus x Rutcan 'Constellation'</v>
      </c>
      <c r="B255" s="51" t="str">
        <f ca="1">'Landscape Trees '!C77</f>
        <v>Constellation Dogwood</v>
      </c>
      <c r="C255" s="42" t="str">
        <f ca="1">'Landscape Trees '!D77</f>
        <v>#10</v>
      </c>
      <c r="D255" s="42" t="str">
        <f ca="1">'Landscape Trees '!E77</f>
        <v>1-1.25"</v>
      </c>
      <c r="E255" s="42" t="str">
        <f ca="1">'Landscape Trees '!F77</f>
        <v>7-10'</v>
      </c>
      <c r="F255" s="52">
        <f ca="1">'Landscape Trees '!G77</f>
        <v>9</v>
      </c>
      <c r="G255" s="68">
        <f ca="1">'Landscape Trees '!H77*0.9</f>
        <v>90</v>
      </c>
      <c r="H255" s="51" t="str">
        <f t="shared" ca="1" si="0"/>
        <v>Constellation Dogwood #10-2021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'!A78</f>
        <v>Cornus x Rutcan 'Constellation'</v>
      </c>
      <c r="B256" s="51" t="str">
        <f ca="1">'Landscape Trees '!C78</f>
        <v>Constellation Dogwood</v>
      </c>
      <c r="C256" s="42" t="str">
        <f ca="1">'Landscape Trees '!D78</f>
        <v>#15</v>
      </c>
      <c r="D256" s="42" t="str">
        <f ca="1">'Landscape Trees '!E78</f>
        <v>1-1.5"</v>
      </c>
      <c r="E256" s="42" t="str">
        <f ca="1">'Landscape Trees '!F78</f>
        <v>8-9'</v>
      </c>
      <c r="F256" s="52">
        <f ca="1">'Landscape Trees '!G78</f>
        <v>25</v>
      </c>
      <c r="G256" s="68">
        <f ca="1">'Landscape Trees '!H78*0.9</f>
        <v>121.5</v>
      </c>
      <c r="H256" s="51" t="str">
        <f t="shared" ca="1" si="0"/>
        <v>Constellation Dogwood #15-2021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'!A79</f>
        <v>Cotinus coggygria 'Royal Purple'</v>
      </c>
      <c r="B257" s="51" t="str">
        <f ca="1">'Landscape Trees '!C79</f>
        <v>Royal Purple Smokebush</v>
      </c>
      <c r="C257" s="42" t="str">
        <f ca="1">'Landscape Trees '!D79</f>
        <v>#5</v>
      </c>
      <c r="D257" s="42" t="str">
        <f ca="1">'Landscape Trees '!E79</f>
        <v>Multi</v>
      </c>
      <c r="E257" s="42" t="str">
        <f ca="1">'Landscape Trees '!F79</f>
        <v>8-11'</v>
      </c>
      <c r="F257" s="52">
        <f ca="1">'Landscape Trees '!G79</f>
        <v>4</v>
      </c>
      <c r="G257" s="68">
        <f ca="1">'Landscape Trees '!H79*0.9</f>
        <v>45</v>
      </c>
      <c r="H257" s="51" t="str">
        <f t="shared" ca="1" si="0"/>
        <v>Royal Purple Smokebush #5-2021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'!A80</f>
        <v>Cotinus obovatus</v>
      </c>
      <c r="B258" s="51" t="str">
        <f ca="1">'Landscape Trees '!C80</f>
        <v>Smokebush (Native)</v>
      </c>
      <c r="C258" s="42" t="str">
        <f ca="1">'Landscape Trees '!D80</f>
        <v>#5</v>
      </c>
      <c r="D258" s="42" t="str">
        <f ca="1">'Landscape Trees '!E80</f>
        <v>0.75-1"</v>
      </c>
      <c r="E258" s="42" t="str">
        <f ca="1">'Landscape Trees '!F80</f>
        <v>7-12'</v>
      </c>
      <c r="F258" s="52">
        <f ca="1">'Landscape Trees '!G80</f>
        <v>13</v>
      </c>
      <c r="G258" s="68">
        <f ca="1">'Landscape Trees '!H80*0.9</f>
        <v>45</v>
      </c>
      <c r="H258" s="51" t="str">
        <f t="shared" ca="1" si="0"/>
        <v>Smokebush (Native) #5-2021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'!A81</f>
        <v>Crataegus marshallii</v>
      </c>
      <c r="B259" s="51" t="str">
        <f ca="1">'Landscape Trees '!C81</f>
        <v>Parsley Hawthorn</v>
      </c>
      <c r="C259" s="42" t="str">
        <f ca="1">'Landscape Trees '!D81</f>
        <v>#5</v>
      </c>
      <c r="D259" s="42" t="str">
        <f ca="1">'Landscape Trees '!E81</f>
        <v>0.5-1"</v>
      </c>
      <c r="E259" s="42" t="str">
        <f ca="1">'Landscape Trees '!F81</f>
        <v>3-8'</v>
      </c>
      <c r="F259" s="52">
        <f ca="1">'Landscape Trees '!G81</f>
        <v>32</v>
      </c>
      <c r="G259" s="68">
        <f ca="1">'Landscape Trees '!H81*0.9</f>
        <v>45</v>
      </c>
      <c r="H259" s="51" t="str">
        <f t="shared" ca="1" si="0"/>
        <v>Parsley Hawthorn #5-2021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'!A82</f>
        <v>Crataegus viridis 'Winter King'</v>
      </c>
      <c r="B260" s="51" t="str">
        <f ca="1">'Landscape Trees '!C82</f>
        <v>Winter King Hawthorn</v>
      </c>
      <c r="C260" s="42" t="str">
        <f ca="1">'Landscape Trees '!D82</f>
        <v>#5</v>
      </c>
      <c r="D260" s="42" t="str">
        <f ca="1">'Landscape Trees '!E82</f>
        <v>0.75-1"</v>
      </c>
      <c r="E260" s="42" t="str">
        <f ca="1">'Landscape Trees '!F82</f>
        <v>7-9'</v>
      </c>
      <c r="F260" s="52">
        <f ca="1">'Landscape Trees '!G82</f>
        <v>1</v>
      </c>
      <c r="G260" s="68">
        <f ca="1">'Landscape Trees '!H82*0.9</f>
        <v>63</v>
      </c>
      <c r="H260" s="51" t="str">
        <f t="shared" ca="1" si="0"/>
        <v>Winter King Hawthorn #5-2021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'!A83</f>
        <v>Crataegus viridis 'Winter King'</v>
      </c>
      <c r="B261" s="51" t="str">
        <f ca="1">'Landscape Trees '!C83</f>
        <v>Winter King Hawthorn</v>
      </c>
      <c r="C261" s="42" t="str">
        <f ca="1">'Landscape Trees '!D83</f>
        <v>#10</v>
      </c>
      <c r="D261" s="42" t="str">
        <f ca="1">'Landscape Trees '!E83</f>
        <v>0.75-1"</v>
      </c>
      <c r="E261" s="42" t="str">
        <f ca="1">'Landscape Trees '!F83</f>
        <v>6-7.5'</v>
      </c>
      <c r="F261" s="52">
        <f ca="1">'Landscape Trees '!G83</f>
        <v>11</v>
      </c>
      <c r="G261" s="68">
        <f ca="1">'Landscape Trees '!H83*0.9</f>
        <v>90</v>
      </c>
      <c r="H261" s="51" t="str">
        <f t="shared" ca="1" si="0"/>
        <v>Winter King Hawthorn #10-2021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'!A84</f>
        <v>Crataegus viridis 'Winter King'</v>
      </c>
      <c r="B262" s="51" t="str">
        <f ca="1">'Landscape Trees '!C84</f>
        <v>Winter King Hawthorn</v>
      </c>
      <c r="C262" s="42" t="str">
        <f ca="1">'Landscape Trees '!D84</f>
        <v>#15</v>
      </c>
      <c r="D262" s="42" t="str">
        <f ca="1">'Landscape Trees '!E84</f>
        <v>1-1.5"</v>
      </c>
      <c r="E262" s="42" t="str">
        <f ca="1">'Landscape Trees '!F84</f>
        <v>9-11'</v>
      </c>
      <c r="F262" s="52">
        <f ca="1">'Landscape Trees '!G84</f>
        <v>30</v>
      </c>
      <c r="G262" s="68">
        <f ca="1">'Landscape Trees '!H84*0.9</f>
        <v>121.5</v>
      </c>
      <c r="H262" s="51" t="str">
        <f t="shared" ca="1" si="0"/>
        <v>Winter King Hawthorn #15-2021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'!A85</f>
        <v>Cryptomeria japonica 'Yoshino'</v>
      </c>
      <c r="B263" s="51" t="str">
        <f ca="1">'Landscape Trees '!C85</f>
        <v>Yoshino Cryptomeria</v>
      </c>
      <c r="C263" s="42" t="str">
        <f ca="1">'Landscape Trees '!D85</f>
        <v>#10</v>
      </c>
      <c r="D263" s="42" t="str">
        <f ca="1">'Landscape Trees '!E85</f>
        <v>0.5-0.75"</v>
      </c>
      <c r="E263" s="42" t="str">
        <f ca="1">'Landscape Trees '!F85</f>
        <v>3-4'</v>
      </c>
      <c r="F263" s="52">
        <f ca="1">'Landscape Trees '!G85</f>
        <v>1</v>
      </c>
      <c r="G263" s="68">
        <f ca="1">'Landscape Trees '!H85*0.9</f>
        <v>90</v>
      </c>
      <c r="H263" s="51" t="str">
        <f t="shared" ref="H263:H469" ca="1" si="3">B263&amp;" "&amp;C263&amp;-2021</f>
        <v>Yoshino Cryptomeria #10-2021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'!A86</f>
        <v>Diospyros virginiana</v>
      </c>
      <c r="B264" s="51" t="str">
        <f ca="1">'Landscape Trees '!C86</f>
        <v>American Persimmon</v>
      </c>
      <c r="C264" s="42" t="str">
        <f ca="1">'Landscape Trees '!D86</f>
        <v>#5</v>
      </c>
      <c r="D264" s="42" t="str">
        <f ca="1">'Landscape Trees '!E86</f>
        <v>0.25-1"</v>
      </c>
      <c r="E264" s="42" t="str">
        <f ca="1">'Landscape Trees '!F86</f>
        <v>2-7'</v>
      </c>
      <c r="F264" s="52">
        <f ca="1">'Landscape Trees '!G86</f>
        <v>114</v>
      </c>
      <c r="G264" s="68">
        <f ca="1">'Landscape Trees '!H86*0.9</f>
        <v>45</v>
      </c>
      <c r="H264" s="51" t="str">
        <f t="shared" ca="1" si="3"/>
        <v>American Persimmon #5-2021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'!A87</f>
        <v>Euonymus americanus</v>
      </c>
      <c r="B265" s="51" t="str">
        <f ca="1">'Landscape Trees '!C87</f>
        <v>Strawberry Bush</v>
      </c>
      <c r="C265" s="42" t="str">
        <f ca="1">'Landscape Trees '!D87</f>
        <v>#5</v>
      </c>
      <c r="D265" s="42" t="str">
        <f ca="1">'Landscape Trees '!E87</f>
        <v>Multi</v>
      </c>
      <c r="E265" s="42" t="str">
        <f ca="1">'Landscape Trees '!F87</f>
        <v>0.5-0.5'</v>
      </c>
      <c r="F265" s="52">
        <f ca="1">'Landscape Trees '!G87</f>
        <v>6</v>
      </c>
      <c r="G265" s="68">
        <f ca="1">'Landscape Trees '!H87*0.9</f>
        <v>45</v>
      </c>
      <c r="H265" s="51" t="str">
        <f t="shared" ca="1" si="3"/>
        <v>Strawberry Bush #5-2021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'!A88</f>
        <v>Fagus grandiflora</v>
      </c>
      <c r="B266" s="51" t="str">
        <f ca="1">'Landscape Trees '!C88</f>
        <v>American Beech</v>
      </c>
      <c r="C266" s="42" t="str">
        <f ca="1">'Landscape Trees '!D88</f>
        <v>#5</v>
      </c>
      <c r="D266" s="42" t="str">
        <f ca="1">'Landscape Trees '!E88</f>
        <v>0.75-1"</v>
      </c>
      <c r="E266" s="42" t="str">
        <f ca="1">'Landscape Trees '!F88</f>
        <v>4-7'</v>
      </c>
      <c r="F266" s="52">
        <f ca="1">'Landscape Trees '!G88</f>
        <v>48</v>
      </c>
      <c r="G266" s="68">
        <f ca="1">'Landscape Trees '!H88*0.9</f>
        <v>63</v>
      </c>
      <c r="H266" s="51" t="str">
        <f t="shared" ca="1" si="3"/>
        <v>American Beech #5-2021</v>
      </c>
      <c r="I266" s="54"/>
      <c r="J266" s="55">
        <f t="shared" ca="1" si="2"/>
        <v>0</v>
      </c>
      <c r="K266" s="55"/>
    </row>
    <row r="267" spans="1:11" ht="12.75" hidden="1" x14ac:dyDescent="0.2">
      <c r="A267" s="51" t="str">
        <f ca="1">'Landscape Trees '!A89</f>
        <v>Fothergilla x 'Mt. Airy'</v>
      </c>
      <c r="B267" s="51" t="str">
        <f ca="1">'Landscape Trees '!C89</f>
        <v>Mt. Airy Fothergilla</v>
      </c>
      <c r="C267" s="42" t="str">
        <f ca="1">'Landscape Trees '!D89</f>
        <v>#5</v>
      </c>
      <c r="D267" s="42" t="str">
        <f ca="1">'Landscape Trees '!E89</f>
        <v>Multi</v>
      </c>
      <c r="E267" s="42" t="str">
        <f ca="1">'Landscape Trees '!F89</f>
        <v>1.5-2'</v>
      </c>
      <c r="F267" s="52">
        <f ca="1">'Landscape Trees '!G89</f>
        <v>34</v>
      </c>
      <c r="G267" s="53">
        <f ca="1">'Landscape Trees '!H89*0.9</f>
        <v>33.300000000000004</v>
      </c>
      <c r="H267" s="51" t="str">
        <f t="shared" ca="1" si="3"/>
        <v>Mt. Airy Fothergilla #5-2021</v>
      </c>
      <c r="I267" s="69"/>
      <c r="J267" s="55">
        <f t="shared" ca="1" si="2"/>
        <v>0</v>
      </c>
      <c r="K267" s="55"/>
    </row>
    <row r="268" spans="1:11" ht="12.75" x14ac:dyDescent="0.2">
      <c r="A268" s="51" t="str">
        <f ca="1">'Landscape Trees '!A90</f>
        <v>Ginkgo biloba 'Autumn Gold'</v>
      </c>
      <c r="B268" s="51" t="str">
        <f ca="1">'Landscape Trees '!C90</f>
        <v>Autumn Gold Ginkgo</v>
      </c>
      <c r="C268" s="42" t="str">
        <f ca="1">'Landscape Trees '!D90</f>
        <v>#5</v>
      </c>
      <c r="D268" s="42" t="str">
        <f ca="1">'Landscape Trees '!E90</f>
        <v>0.5-0.75"</v>
      </c>
      <c r="E268" s="42" t="str">
        <f ca="1">'Landscape Trees '!F90</f>
        <v>4-4.5'</v>
      </c>
      <c r="F268" s="52">
        <f ca="1">'Landscape Trees '!G90</f>
        <v>1</v>
      </c>
      <c r="G268" s="68">
        <f ca="1">'Landscape Trees '!H90*0.9</f>
        <v>63</v>
      </c>
      <c r="H268" s="51" t="str">
        <f t="shared" ca="1" si="3"/>
        <v>Autumn Gold Ginkgo #5-2021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'!A91</f>
        <v>Ginkgo biloba 'Autumn Gold'</v>
      </c>
      <c r="B269" s="51" t="str">
        <f ca="1">'Landscape Trees '!C91</f>
        <v>Autumn Gold Ginkgo</v>
      </c>
      <c r="C269" s="42" t="str">
        <f ca="1">'Landscape Trees '!D91</f>
        <v>#7</v>
      </c>
      <c r="D269" s="42" t="str">
        <f ca="1">'Landscape Trees '!E91</f>
        <v>0.5-0.75"</v>
      </c>
      <c r="E269" s="42" t="str">
        <f ca="1">'Landscape Trees '!F91</f>
        <v>4-7'</v>
      </c>
      <c r="F269" s="52">
        <f ca="1">'Landscape Trees '!G91</f>
        <v>19</v>
      </c>
      <c r="G269" s="68">
        <f ca="1">'Landscape Trees '!H91*0.9</f>
        <v>63</v>
      </c>
      <c r="H269" s="51" t="str">
        <f t="shared" ca="1" si="3"/>
        <v>Autumn Gold Ginkgo #7-2021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'!A92</f>
        <v>Ginkgo biloba 'Autumn Gold'</v>
      </c>
      <c r="B270" s="51" t="str">
        <f ca="1">'Landscape Trees '!C92</f>
        <v>Autumn Gold Ginkgo</v>
      </c>
      <c r="C270" s="42" t="str">
        <f ca="1">'Landscape Trees '!D92</f>
        <v>#15</v>
      </c>
      <c r="D270" s="42" t="str">
        <f ca="1">'Landscape Trees '!E92</f>
        <v>0.75-1.25"</v>
      </c>
      <c r="E270" s="42" t="str">
        <f ca="1">'Landscape Trees '!F92</f>
        <v>7.5-9.5'</v>
      </c>
      <c r="F270" s="52">
        <f ca="1">'Landscape Trees '!G92</f>
        <v>7</v>
      </c>
      <c r="G270" s="68">
        <f ca="1">'Landscape Trees '!H92*0.9</f>
        <v>121.5</v>
      </c>
      <c r="H270" s="51" t="str">
        <f t="shared" ca="1" si="3"/>
        <v>Autumn Gold Ginkgo #15-2021</v>
      </c>
      <c r="I270" s="54"/>
      <c r="J270" s="55">
        <f t="shared" ca="1" si="2"/>
        <v>0</v>
      </c>
      <c r="K270" s="55"/>
    </row>
    <row r="271" spans="1:11" ht="12.75" hidden="1" x14ac:dyDescent="0.2">
      <c r="A271" s="51" t="str">
        <f ca="1">'Landscape Trees '!A93</f>
        <v>Ginkgo biloba 'Magyar'</v>
      </c>
      <c r="B271" s="51" t="str">
        <f ca="1">'Landscape Trees '!C93</f>
        <v>Magyar Ginkgo</v>
      </c>
      <c r="C271" s="42" t="str">
        <f ca="1">'Landscape Trees '!D93</f>
        <v>#5</v>
      </c>
      <c r="D271" s="42" t="str">
        <f ca="1">'Landscape Trees '!E93</f>
        <v>0.75-1"</v>
      </c>
      <c r="E271" s="42" t="str">
        <f ca="1">'Landscape Trees '!F93</f>
        <v>6-7'</v>
      </c>
      <c r="F271" s="52">
        <f ca="1">'Landscape Trees '!G93</f>
        <v>5</v>
      </c>
      <c r="G271" s="53">
        <f ca="1">'Landscape Trees '!H93*0.9</f>
        <v>63</v>
      </c>
      <c r="H271" s="51" t="str">
        <f t="shared" ca="1" si="3"/>
        <v>Magyar Ginkgo #5-2021</v>
      </c>
      <c r="I271" s="69"/>
      <c r="J271" s="55">
        <f t="shared" ca="1" si="2"/>
        <v>0</v>
      </c>
      <c r="K271" s="55"/>
    </row>
    <row r="272" spans="1:11" ht="12.75" x14ac:dyDescent="0.2">
      <c r="A272" s="51" t="str">
        <f ca="1">'Landscape Trees '!A94</f>
        <v>Ginkgo biloba 'Magyar'</v>
      </c>
      <c r="B272" s="51" t="str">
        <f ca="1">'Landscape Trees '!C94</f>
        <v>Magyar Ginkgo</v>
      </c>
      <c r="C272" s="42" t="str">
        <f ca="1">'Landscape Trees '!D94</f>
        <v>#7</v>
      </c>
      <c r="D272" s="42" t="str">
        <f ca="1">'Landscape Trees '!E94</f>
        <v>1-1.25"</v>
      </c>
      <c r="E272" s="42" t="str">
        <f ca="1">'Landscape Trees '!F94</f>
        <v>7-8'</v>
      </c>
      <c r="F272" s="52">
        <f ca="1">'Landscape Trees '!G94</f>
        <v>3</v>
      </c>
      <c r="G272" s="68">
        <f ca="1">'Landscape Trees '!H94*0.9</f>
        <v>63</v>
      </c>
      <c r="H272" s="51" t="str">
        <f t="shared" ca="1" si="3"/>
        <v>Magyar Ginkgo #7-2021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'!A95</f>
        <v>Ginkgo biloba 'Magyar'</v>
      </c>
      <c r="B273" s="51" t="str">
        <f ca="1">'Landscape Trees '!C95</f>
        <v>Magyar Ginkgo</v>
      </c>
      <c r="C273" s="42" t="str">
        <f ca="1">'Landscape Trees '!D95</f>
        <v>#15</v>
      </c>
      <c r="D273" s="42" t="str">
        <f ca="1">'Landscape Trees '!E95</f>
        <v>1.25-1.5"</v>
      </c>
      <c r="E273" s="42" t="str">
        <f ca="1">'Landscape Trees '!F95</f>
        <v>7-10.5'</v>
      </c>
      <c r="F273" s="52">
        <f ca="1">'Landscape Trees '!G95</f>
        <v>7</v>
      </c>
      <c r="G273" s="68">
        <f ca="1">'Landscape Trees '!H95*0.9</f>
        <v>121.5</v>
      </c>
      <c r="H273" s="51" t="str">
        <f t="shared" ca="1" si="3"/>
        <v>Magyar Ginkgo #15-2021</v>
      </c>
      <c r="I273" s="54"/>
      <c r="J273" s="55">
        <f t="shared" ca="1" si="2"/>
        <v>0</v>
      </c>
      <c r="K273" s="55"/>
    </row>
    <row r="274" spans="1:11" ht="12.75" hidden="1" x14ac:dyDescent="0.2">
      <c r="A274" s="51" t="str">
        <f ca="1">'Landscape Trees '!A96</f>
        <v>Ginkgo biloba 'Princeton Sentry'</v>
      </c>
      <c r="B274" s="51" t="str">
        <f ca="1">'Landscape Trees '!C96</f>
        <v>Princeton Sentry Ginkgo</v>
      </c>
      <c r="C274" s="42" t="str">
        <f ca="1">'Landscape Trees '!D96</f>
        <v>#7</v>
      </c>
      <c r="D274" s="42" t="str">
        <f ca="1">'Landscape Trees '!E96</f>
        <v>0.5-0.75"</v>
      </c>
      <c r="E274" s="42" t="str">
        <f ca="1">'Landscape Trees '!F96</f>
        <v>5-5.5'</v>
      </c>
      <c r="F274" s="52">
        <f ca="1">'Landscape Trees '!G96</f>
        <v>4</v>
      </c>
      <c r="G274" s="53">
        <f ca="1">'Landscape Trees '!H96*0.9</f>
        <v>63</v>
      </c>
      <c r="H274" s="51" t="str">
        <f t="shared" ca="1" si="3"/>
        <v>Princeton Sentry Ginkgo #7-2021</v>
      </c>
      <c r="I274" s="69"/>
      <c r="J274" s="55">
        <f t="shared" ca="1" si="2"/>
        <v>0</v>
      </c>
      <c r="K274" s="55"/>
    </row>
    <row r="275" spans="1:11" ht="12.75" hidden="1" x14ac:dyDescent="0.2">
      <c r="A275" s="51" t="str">
        <f ca="1">'Landscape Trees '!A97</f>
        <v>Ginkgo biloba 'Princeton Sentry'</v>
      </c>
      <c r="B275" s="51" t="str">
        <f ca="1">'Landscape Trees '!C97</f>
        <v>Princeton Sentry Ginkgo</v>
      </c>
      <c r="C275" s="42" t="str">
        <f ca="1">'Landscape Trees '!D97</f>
        <v>#10</v>
      </c>
      <c r="D275" s="42" t="str">
        <f ca="1">'Landscape Trees '!E97</f>
        <v>1-1.25"</v>
      </c>
      <c r="E275" s="42" t="str">
        <f ca="1">'Landscape Trees '!F97</f>
        <v>5.5-6.5'</v>
      </c>
      <c r="F275" s="52">
        <f ca="1">'Landscape Trees '!G97</f>
        <v>3</v>
      </c>
      <c r="G275" s="53">
        <f ca="1">'Landscape Trees '!H97*0.9</f>
        <v>90</v>
      </c>
      <c r="H275" s="51" t="str">
        <f t="shared" ca="1" si="3"/>
        <v>Princeton Sentry Ginkgo #10-2021</v>
      </c>
      <c r="I275" s="69"/>
      <c r="J275" s="55">
        <f t="shared" ca="1" si="2"/>
        <v>0</v>
      </c>
      <c r="K275" s="55"/>
    </row>
    <row r="276" spans="1:11" ht="12.75" hidden="1" x14ac:dyDescent="0.2">
      <c r="A276" s="51" t="str">
        <f ca="1">'Landscape Trees '!A98</f>
        <v>Ginkgo biloba 'Princeton Sentry'</v>
      </c>
      <c r="B276" s="51" t="str">
        <f ca="1">'Landscape Trees '!C98</f>
        <v xml:space="preserve">Princeton Sentry Ginkgo </v>
      </c>
      <c r="C276" s="42" t="str">
        <f ca="1">'Landscape Trees '!D98</f>
        <v>#15</v>
      </c>
      <c r="D276" s="42" t="str">
        <f ca="1">'Landscape Trees '!E98</f>
        <v>1-1.25"</v>
      </c>
      <c r="E276" s="42" t="str">
        <f ca="1">'Landscape Trees '!F98</f>
        <v>7-10'</v>
      </c>
      <c r="F276" s="52">
        <f ca="1">'Landscape Trees '!G98</f>
        <v>8</v>
      </c>
      <c r="G276" s="53">
        <f ca="1">'Landscape Trees '!H98*0.9</f>
        <v>121.5</v>
      </c>
      <c r="H276" s="51" t="str">
        <f t="shared" ca="1" si="3"/>
        <v>Princeton Sentry Ginkgo  #15-2021</v>
      </c>
      <c r="I276" s="69"/>
      <c r="J276" s="55">
        <f t="shared" ca="1" si="2"/>
        <v>0</v>
      </c>
      <c r="K276" s="55"/>
    </row>
    <row r="277" spans="1:11" ht="12.75" x14ac:dyDescent="0.2">
      <c r="A277" s="51" t="str">
        <f ca="1">'Landscape Trees '!A99</f>
        <v>Ginkgo biloba 'Windover Gold'</v>
      </c>
      <c r="B277" s="51" t="str">
        <f ca="1">'Landscape Trees '!C99</f>
        <v>Windover Gold Ginkgo</v>
      </c>
      <c r="C277" s="42" t="str">
        <f ca="1">'Landscape Trees '!D99</f>
        <v>#15</v>
      </c>
      <c r="D277" s="42" t="str">
        <f ca="1">'Landscape Trees '!E99</f>
        <v>1.25-1.5"</v>
      </c>
      <c r="E277" s="42" t="str">
        <f ca="1">'Landscape Trees '!F99</f>
        <v>7-9'</v>
      </c>
      <c r="F277" s="52">
        <f ca="1">'Landscape Trees '!G99</f>
        <v>2</v>
      </c>
      <c r="G277" s="68">
        <f ca="1">'Landscape Trees '!H99*0.9</f>
        <v>121.5</v>
      </c>
      <c r="H277" s="51" t="str">
        <f t="shared" ca="1" si="3"/>
        <v>Windover Gold Ginkgo #15-2021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'!A100</f>
        <v>Gleditsia triacanthos 'Shademaster'</v>
      </c>
      <c r="B278" s="51" t="str">
        <f ca="1">'Landscape Trees '!C100</f>
        <v>Shademaster Honeylocust</v>
      </c>
      <c r="C278" s="42" t="str">
        <f ca="1">'Landscape Trees '!D100</f>
        <v>#15</v>
      </c>
      <c r="D278" s="42" t="str">
        <f ca="1">'Landscape Trees '!E100</f>
        <v>0.5-1.5"</v>
      </c>
      <c r="E278" s="42" t="str">
        <f ca="1">'Landscape Trees '!F100</f>
        <v>7-12'</v>
      </c>
      <c r="F278" s="52">
        <f ca="1">'Landscape Trees '!G100</f>
        <v>24</v>
      </c>
      <c r="G278" s="68">
        <f ca="1">'Landscape Trees '!H100*0.9</f>
        <v>121.5</v>
      </c>
      <c r="H278" s="51" t="str">
        <f t="shared" ca="1" si="3"/>
        <v>Shademaster Honeylocust #15-2021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'!A101</f>
        <v>Gleditsia triacanthos 'Skyline'</v>
      </c>
      <c r="B279" s="51" t="str">
        <f ca="1">'Landscape Trees '!C101</f>
        <v>Skyline Honeylocust</v>
      </c>
      <c r="C279" s="42" t="str">
        <f ca="1">'Landscape Trees '!D101</f>
        <v>#15</v>
      </c>
      <c r="D279" s="42" t="str">
        <f ca="1">'Landscape Trees '!E101</f>
        <v>0.75-1.75"</v>
      </c>
      <c r="E279" s="42" t="str">
        <f ca="1">'Landscape Trees '!F101</f>
        <v>8-13'</v>
      </c>
      <c r="F279" s="52">
        <f ca="1">'Landscape Trees '!G101</f>
        <v>31</v>
      </c>
      <c r="G279" s="68">
        <f ca="1">'Landscape Trees '!H101*0.9</f>
        <v>121.5</v>
      </c>
      <c r="H279" s="51" t="str">
        <f t="shared" ca="1" si="3"/>
        <v>Skyline Honeylocust #15-2021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'!A102</f>
        <v>Gymnocladus dioicus</v>
      </c>
      <c r="B280" s="51" t="str">
        <f ca="1">'Landscape Trees '!C102</f>
        <v>Kentucky Coffeetree</v>
      </c>
      <c r="C280" s="42" t="str">
        <f ca="1">'Landscape Trees '!D102</f>
        <v>#5</v>
      </c>
      <c r="D280" s="42" t="str">
        <f ca="1">'Landscape Trees '!E102</f>
        <v>0.5-1.25"</v>
      </c>
      <c r="E280" s="42" t="str">
        <f ca="1">'Landscape Trees '!F102</f>
        <v>3-7'</v>
      </c>
      <c r="F280" s="52">
        <f ca="1">'Landscape Trees '!G102</f>
        <v>42</v>
      </c>
      <c r="G280" s="68">
        <f ca="1">'Landscape Trees '!H102*0.9</f>
        <v>36</v>
      </c>
      <c r="H280" s="51" t="str">
        <f t="shared" ca="1" si="3"/>
        <v>Kentucky Coffeetree #5-2021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'!A103</f>
        <v>Gymnocladus dioicus</v>
      </c>
      <c r="B281" s="51" t="str">
        <f ca="1">'Landscape Trees '!C103</f>
        <v>Kentucky Coffeetree</v>
      </c>
      <c r="C281" s="42" t="str">
        <f ca="1">'Landscape Trees '!D103</f>
        <v>#15</v>
      </c>
      <c r="D281" s="42" t="str">
        <f ca="1">'Landscape Trees '!E103</f>
        <v>1.25-1.75"</v>
      </c>
      <c r="E281" s="42" t="str">
        <f ca="1">'Landscape Trees '!F103</f>
        <v>9-14'</v>
      </c>
      <c r="F281" s="52">
        <f ca="1">'Landscape Trees '!G103</f>
        <v>15</v>
      </c>
      <c r="G281" s="68">
        <f ca="1">'Landscape Trees '!H103*0.9</f>
        <v>121.5</v>
      </c>
      <c r="H281" s="51" t="str">
        <f t="shared" ca="1" si="3"/>
        <v>Kentucky Coffeetree #15-2021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'!A104</f>
        <v xml:space="preserve">Gymnocladus dioicus </v>
      </c>
      <c r="B282" s="51" t="str">
        <f ca="1">'Landscape Trees '!C104</f>
        <v xml:space="preserve">Kentucky Coffeetree (Cultivar) </v>
      </c>
      <c r="C282" s="42" t="str">
        <f ca="1">'Landscape Trees '!D104</f>
        <v>#15</v>
      </c>
      <c r="D282" s="42" t="str">
        <f ca="1">'Landscape Trees '!E104</f>
        <v>1.25-2"</v>
      </c>
      <c r="E282" s="42" t="str">
        <f ca="1">'Landscape Trees '!F104</f>
        <v>6-16'</v>
      </c>
      <c r="F282" s="52">
        <f ca="1">'Landscape Trees '!G104</f>
        <v>10</v>
      </c>
      <c r="G282" s="68">
        <f ca="1">'Landscape Trees '!H104*0.9</f>
        <v>121.5</v>
      </c>
      <c r="H282" s="51" t="str">
        <f t="shared" ca="1" si="3"/>
        <v>Kentucky Coffeetree (Cultivar)  #15-2021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'!A105</f>
        <v xml:space="preserve">Gymnocladus dioicus </v>
      </c>
      <c r="B283" s="51" t="str">
        <f ca="1">'Landscape Trees '!C105</f>
        <v xml:space="preserve">Kentucky Coffeetree (Cultivar) </v>
      </c>
      <c r="C283" s="42" t="str">
        <f ca="1">'Landscape Trees '!D105</f>
        <v>#25</v>
      </c>
      <c r="D283" s="42" t="str">
        <f ca="1">'Landscape Trees '!E105</f>
        <v>1.75-2"</v>
      </c>
      <c r="E283" s="42" t="str">
        <f ca="1">'Landscape Trees '!F105</f>
        <v>14-16'</v>
      </c>
      <c r="F283" s="52">
        <f ca="1">'Landscape Trees '!G105</f>
        <v>2</v>
      </c>
      <c r="G283" s="68">
        <f ca="1">'Landscape Trees '!H105*0.9</f>
        <v>135</v>
      </c>
      <c r="H283" s="51" t="str">
        <f t="shared" ca="1" si="3"/>
        <v>Kentucky Coffeetree (Cultivar)  #25-2021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'!A106</f>
        <v>Halesia carolina</v>
      </c>
      <c r="B284" s="51" t="str">
        <f ca="1">'Landscape Trees '!C106</f>
        <v>Carolina Silverbell</v>
      </c>
      <c r="C284" s="42" t="str">
        <f ca="1">'Landscape Trees '!D106</f>
        <v>#5</v>
      </c>
      <c r="D284" s="42" t="str">
        <f ca="1">'Landscape Trees '!E106</f>
        <v>0.25-1"</v>
      </c>
      <c r="E284" s="42" t="str">
        <f ca="1">'Landscape Trees '!F106</f>
        <v>3-9'</v>
      </c>
      <c r="F284" s="52">
        <f ca="1">'Landscape Trees '!G106</f>
        <v>2</v>
      </c>
      <c r="G284" s="68">
        <f ca="1">'Landscape Trees '!H106*0.9</f>
        <v>45</v>
      </c>
      <c r="H284" s="51" t="str">
        <f t="shared" ca="1" si="3"/>
        <v>Carolina Silverbell #5-2021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'!A107</f>
        <v>Hamamelis virginiana</v>
      </c>
      <c r="B285" s="51" t="str">
        <f ca="1">'Landscape Trees '!C107</f>
        <v>Witch Hazel</v>
      </c>
      <c r="C285" s="42" t="str">
        <f ca="1">'Landscape Trees '!D107</f>
        <v>#5</v>
      </c>
      <c r="D285" s="42" t="str">
        <f ca="1">'Landscape Trees '!E107</f>
        <v>Multi</v>
      </c>
      <c r="E285" s="42" t="str">
        <f ca="1">'Landscape Trees '!F107</f>
        <v>3-4.5'</v>
      </c>
      <c r="F285" s="52">
        <f ca="1">'Landscape Trees '!G107</f>
        <v>29</v>
      </c>
      <c r="G285" s="68">
        <f ca="1">'Landscape Trees '!H107*0.9</f>
        <v>45</v>
      </c>
      <c r="H285" s="51" t="str">
        <f t="shared" ca="1" si="3"/>
        <v>Witch Hazel #5-2021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'!A108</f>
        <v>Hamamelis x 'Diane'</v>
      </c>
      <c r="B286" s="51" t="str">
        <f ca="1">'Landscape Trees '!C108</f>
        <v>Diane Witch Hazel</v>
      </c>
      <c r="C286" s="42" t="str">
        <f ca="1">'Landscape Trees '!D108</f>
        <v>#5</v>
      </c>
      <c r="D286" s="42" t="str">
        <f ca="1">'Landscape Trees '!E108</f>
        <v>Multi</v>
      </c>
      <c r="E286" s="42" t="str">
        <f ca="1">'Landscape Trees '!F108</f>
        <v>2.5-3.5'</v>
      </c>
      <c r="F286" s="52">
        <f ca="1">'Landscape Trees '!G108</f>
        <v>5</v>
      </c>
      <c r="G286" s="68">
        <f ca="1">'Landscape Trees '!H108*0.9</f>
        <v>45</v>
      </c>
      <c r="H286" s="51" t="str">
        <f t="shared" ca="1" si="3"/>
        <v>Diane Witch Hazel #5-2021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'!A109</f>
        <v>Hydrangea que. 'Ruby slippers'</v>
      </c>
      <c r="B287" s="51" t="str">
        <f ca="1">'Landscape Trees '!C109</f>
        <v>Ruby Slippers Oakleaf Hydrangea</v>
      </c>
      <c r="C287" s="42" t="str">
        <f ca="1">'Landscape Trees '!D109</f>
        <v>#5</v>
      </c>
      <c r="D287" s="42" t="str">
        <f ca="1">'Landscape Trees '!E109</f>
        <v>Multi</v>
      </c>
      <c r="E287" s="42" t="str">
        <f ca="1">'Landscape Trees '!F109</f>
        <v>1-2'</v>
      </c>
      <c r="F287" s="52">
        <f ca="1">'Landscape Trees '!G109</f>
        <v>40</v>
      </c>
      <c r="G287" s="68">
        <f ca="1">'Landscape Trees '!H109*0.9</f>
        <v>33.300000000000004</v>
      </c>
      <c r="H287" s="51" t="str">
        <f t="shared" ca="1" si="3"/>
        <v>Ruby Slippers Oakleaf Hydrangea #5-2021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'!A110</f>
        <v>Hydrangea que. 'Snow Queen'</v>
      </c>
      <c r="B288" s="51" t="str">
        <f ca="1">'Landscape Trees '!C110</f>
        <v>Snow Queen Oakleaf Hydrangea</v>
      </c>
      <c r="C288" s="42" t="str">
        <f ca="1">'Landscape Trees '!D110</f>
        <v>#5</v>
      </c>
      <c r="D288" s="42" t="str">
        <f ca="1">'Landscape Trees '!E110</f>
        <v>Multi</v>
      </c>
      <c r="E288" s="42" t="str">
        <f ca="1">'Landscape Trees '!F110</f>
        <v>3-5'</v>
      </c>
      <c r="F288" s="52">
        <f ca="1">'Landscape Trees '!G110</f>
        <v>37</v>
      </c>
      <c r="G288" s="68">
        <f ca="1">'Landscape Trees '!H110*0.9</f>
        <v>33.300000000000004</v>
      </c>
      <c r="H288" s="51" t="str">
        <f t="shared" ca="1" si="3"/>
        <v>Snow Queen Oakleaf Hydrangea #5-2021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'!A111</f>
        <v>Ilex glabra</v>
      </c>
      <c r="B289" s="51" t="str">
        <f ca="1">'Landscape Trees '!C111</f>
        <v>Inkberry</v>
      </c>
      <c r="C289" s="42" t="str">
        <f ca="1">'Landscape Trees '!D111</f>
        <v>#5</v>
      </c>
      <c r="D289" s="42" t="str">
        <f ca="1">'Landscape Trees '!E111</f>
        <v>Multi</v>
      </c>
      <c r="E289" s="42" t="str">
        <f ca="1">'Landscape Trees '!F111</f>
        <v>1-1.5'</v>
      </c>
      <c r="F289" s="52">
        <f ca="1">'Landscape Trees '!G111</f>
        <v>6</v>
      </c>
      <c r="G289" s="68">
        <f ca="1">'Landscape Trees '!H111*0.9</f>
        <v>33.300000000000004</v>
      </c>
      <c r="H289" s="51" t="str">
        <f t="shared" ca="1" si="3"/>
        <v>Inkberry #5-2021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'!A112</f>
        <v>Ilex verticillata 'Winter Red'</v>
      </c>
      <c r="B290" s="51" t="str">
        <f ca="1">'Landscape Trees '!C112</f>
        <v>Winter Red Winterberry Holly</v>
      </c>
      <c r="C290" s="42" t="str">
        <f ca="1">'Landscape Trees '!D112</f>
        <v>#5</v>
      </c>
      <c r="D290" s="42" t="str">
        <f ca="1">'Landscape Trees '!E112</f>
        <v>Multi</v>
      </c>
      <c r="E290" s="42" t="str">
        <f ca="1">'Landscape Trees '!F112</f>
        <v>2-4'</v>
      </c>
      <c r="F290" s="52">
        <f ca="1">'Landscape Trees '!G112</f>
        <v>119</v>
      </c>
      <c r="G290" s="68">
        <f ca="1">'Landscape Trees '!H112*0.9</f>
        <v>31.5</v>
      </c>
      <c r="H290" s="51" t="str">
        <f t="shared" ca="1" si="3"/>
        <v>Winter Red Winterberry Holly #5-2021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'!A113</f>
        <v>Juniper chinensis 'Spartan'</v>
      </c>
      <c r="B291" s="51" t="str">
        <f ca="1">'Landscape Trees '!C113</f>
        <v>Spartan Juniper</v>
      </c>
      <c r="C291" s="42" t="str">
        <f ca="1">'Landscape Trees '!D113</f>
        <v>#3</v>
      </c>
      <c r="D291" s="42" t="str">
        <f ca="1">'Landscape Trees '!E113</f>
        <v>0.75-1"</v>
      </c>
      <c r="E291" s="42" t="str">
        <f ca="1">'Landscape Trees '!F113</f>
        <v>4-4'</v>
      </c>
      <c r="F291" s="52">
        <f ca="1">'Landscape Trees '!G113</f>
        <v>5</v>
      </c>
      <c r="G291" s="68">
        <f ca="1">'Landscape Trees '!H113*0.9</f>
        <v>45</v>
      </c>
      <c r="H291" s="51" t="str">
        <f t="shared" ca="1" si="3"/>
        <v>Spartan Juniper #3-2021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'!A114</f>
        <v>Lindera benzoin</v>
      </c>
      <c r="B292" s="51" t="str">
        <f ca="1">'Landscape Trees '!C114</f>
        <v>Spicebush</v>
      </c>
      <c r="C292" s="42" t="str">
        <f ca="1">'Landscape Trees '!D114</f>
        <v>#5</v>
      </c>
      <c r="D292" s="42" t="str">
        <f ca="1">'Landscape Trees '!E114</f>
        <v>0.25-0.5"</v>
      </c>
      <c r="E292" s="42" t="str">
        <f ca="1">'Landscape Trees '!F114</f>
        <v>2-3'</v>
      </c>
      <c r="F292" s="52">
        <f ca="1">'Landscape Trees '!G114</f>
        <v>99</v>
      </c>
      <c r="G292" s="68">
        <f ca="1">'Landscape Trees '!H114*0.9</f>
        <v>33.300000000000004</v>
      </c>
      <c r="H292" s="51" t="str">
        <f t="shared" ca="1" si="3"/>
        <v>Spicebush #5-2021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'!A115</f>
        <v>Liquidambar styraciflua</v>
      </c>
      <c r="B293" s="51" t="str">
        <f ca="1">'Landscape Trees '!C115</f>
        <v>Sweet Gum</v>
      </c>
      <c r="C293" s="42" t="str">
        <f ca="1">'Landscape Trees '!D115</f>
        <v>#5</v>
      </c>
      <c r="D293" s="42" t="str">
        <f ca="1">'Landscape Trees '!E115</f>
        <v>0.25-1.25"</v>
      </c>
      <c r="E293" s="42" t="str">
        <f ca="1">'Landscape Trees '!F115</f>
        <v>3-8'</v>
      </c>
      <c r="F293" s="52">
        <f ca="1">'Landscape Trees '!G115</f>
        <v>32</v>
      </c>
      <c r="G293" s="68">
        <f ca="1">'Landscape Trees '!H115*0.9</f>
        <v>45</v>
      </c>
      <c r="H293" s="51" t="str">
        <f t="shared" ca="1" si="3"/>
        <v>Sweet Gum #5-2021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'!A116</f>
        <v>Liquidambar styraciflua 'Hapdell' Happidaze</v>
      </c>
      <c r="B294" s="51" t="str">
        <f ca="1">'Landscape Trees '!C116</f>
        <v>Happidaze Sweetgum</v>
      </c>
      <c r="C294" s="42" t="str">
        <f ca="1">'Landscape Trees '!D116</f>
        <v>#10</v>
      </c>
      <c r="D294" s="42" t="str">
        <f ca="1">'Landscape Trees '!E116</f>
        <v>1-1.25"</v>
      </c>
      <c r="E294" s="42" t="str">
        <f ca="1">'Landscape Trees '!F116</f>
        <v>6-8'</v>
      </c>
      <c r="F294" s="52">
        <f ca="1">'Landscape Trees '!G116</f>
        <v>1</v>
      </c>
      <c r="G294" s="68">
        <f ca="1">'Landscape Trees '!H116*0.9</f>
        <v>90</v>
      </c>
      <c r="H294" s="51" t="str">
        <f t="shared" ca="1" si="3"/>
        <v>Happidaze Sweetgum #10-2021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'!A117</f>
        <v>Liquidambar styraciflua 'Silver King'</v>
      </c>
      <c r="B295" s="51" t="str">
        <f ca="1">'Landscape Trees '!C117</f>
        <v>Silver King Sweet Gum</v>
      </c>
      <c r="C295" s="42" t="str">
        <f ca="1">'Landscape Trees '!D117</f>
        <v>#10</v>
      </c>
      <c r="D295" s="42" t="str">
        <f ca="1">'Landscape Trees '!E117</f>
        <v>1.25-1.25"</v>
      </c>
      <c r="E295" s="42" t="str">
        <f ca="1">'Landscape Trees '!F117</f>
        <v>7-9'</v>
      </c>
      <c r="F295" s="52">
        <f ca="1">'Landscape Trees '!G117</f>
        <v>7</v>
      </c>
      <c r="G295" s="68">
        <f ca="1">'Landscape Trees '!H117*0.9</f>
        <v>90</v>
      </c>
      <c r="H295" s="51" t="str">
        <f t="shared" ca="1" si="3"/>
        <v>Silver King Sweet Gum #10-2021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'!A118</f>
        <v>Liquidambar styraciflua 'Worplesdon'</v>
      </c>
      <c r="B296" s="51" t="str">
        <f ca="1">'Landscape Trees '!C118</f>
        <v>Worplesdon Sweetgum</v>
      </c>
      <c r="C296" s="42" t="str">
        <f ca="1">'Landscape Trees '!D118</f>
        <v>#15</v>
      </c>
      <c r="D296" s="42" t="str">
        <f ca="1">'Landscape Trees '!E118</f>
        <v>1.25-1.25"</v>
      </c>
      <c r="E296" s="42" t="str">
        <f ca="1">'Landscape Trees '!F118</f>
        <v>7-8'</v>
      </c>
      <c r="F296" s="52">
        <f ca="1">'Landscape Trees '!G118</f>
        <v>10</v>
      </c>
      <c r="G296" s="68">
        <f ca="1">'Landscape Trees '!H118*0.9</f>
        <v>121.5</v>
      </c>
      <c r="H296" s="51" t="str">
        <f t="shared" ca="1" si="3"/>
        <v>Worplesdon Sweetgum #15-2021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'!A119</f>
        <v>Liriodendron tulipifera</v>
      </c>
      <c r="B297" s="51" t="str">
        <f ca="1">'Landscape Trees '!C119</f>
        <v>Tulip Poplar</v>
      </c>
      <c r="C297" s="42" t="str">
        <f ca="1">'Landscape Trees '!D119</f>
        <v>#5</v>
      </c>
      <c r="D297" s="42" t="str">
        <f ca="1">'Landscape Trees '!E119</f>
        <v>0.5-1.5"</v>
      </c>
      <c r="E297" s="42" t="str">
        <f ca="1">'Landscape Trees '!F119</f>
        <v>5-13'</v>
      </c>
      <c r="F297" s="52">
        <f ca="1">'Landscape Trees '!G119</f>
        <v>209</v>
      </c>
      <c r="G297" s="68">
        <f ca="1">'Landscape Trees '!H119*0.9</f>
        <v>45</v>
      </c>
      <c r="H297" s="51" t="str">
        <f t="shared" ca="1" si="3"/>
        <v>Tulip Poplar #5-2021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'!A120</f>
        <v>Magnolia 'Black Tulip'</v>
      </c>
      <c r="B298" s="51" t="str">
        <f ca="1">'Landscape Trees '!C120</f>
        <v>Black Tulip Magnolia</v>
      </c>
      <c r="C298" s="42" t="str">
        <f ca="1">'Landscape Trees '!D120</f>
        <v>#5</v>
      </c>
      <c r="D298" s="42" t="str">
        <f ca="1">'Landscape Trees '!E120</f>
        <v>Multi</v>
      </c>
      <c r="E298" s="42" t="str">
        <f ca="1">'Landscape Trees '!F120</f>
        <v>3-3.5'</v>
      </c>
      <c r="F298" s="52">
        <f ca="1">'Landscape Trees '!G120</f>
        <v>3</v>
      </c>
      <c r="G298" s="68">
        <f ca="1">'Landscape Trees '!H120*0.9</f>
        <v>63</v>
      </c>
      <c r="H298" s="51" t="str">
        <f t="shared" ca="1" si="3"/>
        <v>Black Tulip Magnolia #5-2021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'!A121</f>
        <v>Magnolia 'Galaxy'</v>
      </c>
      <c r="B299" s="51" t="str">
        <f ca="1">'Landscape Trees '!C121</f>
        <v>Galaxy Magnolia</v>
      </c>
      <c r="C299" s="42" t="str">
        <f ca="1">'Landscape Trees '!D121</f>
        <v>#5</v>
      </c>
      <c r="D299" s="42" t="str">
        <f ca="1">'Landscape Trees '!E121</f>
        <v>0.5-0.75"</v>
      </c>
      <c r="E299" s="42" t="str">
        <f ca="1">'Landscape Trees '!F121</f>
        <v>4-5.5'</v>
      </c>
      <c r="F299" s="52">
        <f ca="1">'Landscape Trees '!G121</f>
        <v>17</v>
      </c>
      <c r="G299" s="68">
        <f ca="1">'Landscape Trees '!H121*0.9</f>
        <v>63</v>
      </c>
      <c r="H299" s="51" t="str">
        <f t="shared" ca="1" si="3"/>
        <v>Galaxy Magnolia #5-2021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'!A122</f>
        <v>Magnolia 'Yellow Bird'</v>
      </c>
      <c r="B300" s="51" t="str">
        <f ca="1">'Landscape Trees '!C122</f>
        <v>Yellow Bird Magnolia</v>
      </c>
      <c r="C300" s="42" t="str">
        <f ca="1">'Landscape Trees '!D122</f>
        <v>#5</v>
      </c>
      <c r="D300" s="42" t="str">
        <f ca="1">'Landscape Trees '!E122</f>
        <v>Multi</v>
      </c>
      <c r="E300" s="42" t="str">
        <f ca="1">'Landscape Trees '!F122</f>
        <v>3-6'</v>
      </c>
      <c r="F300" s="52">
        <f ca="1">'Landscape Trees '!G122</f>
        <v>63</v>
      </c>
      <c r="G300" s="68">
        <f ca="1">'Landscape Trees '!H122*0.9</f>
        <v>63</v>
      </c>
      <c r="H300" s="51" t="str">
        <f t="shared" ca="1" si="3"/>
        <v>Yellow Bird Magnolia #5-2021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'!A123</f>
        <v>Magnolia ashei</v>
      </c>
      <c r="B301" s="51" t="str">
        <f ca="1">'Landscape Trees '!C123</f>
        <v>Ashe's Magnolia</v>
      </c>
      <c r="C301" s="42" t="str">
        <f ca="1">'Landscape Trees '!D123</f>
        <v>#5</v>
      </c>
      <c r="D301" s="42" t="str">
        <f ca="1">'Landscape Trees '!E123</f>
        <v>0.5-0.5"</v>
      </c>
      <c r="E301" s="42" t="str">
        <f ca="1">'Landscape Trees '!F123</f>
        <v>2-6'</v>
      </c>
      <c r="F301" s="52">
        <f ca="1">'Landscape Trees '!G123</f>
        <v>25</v>
      </c>
      <c r="G301" s="68">
        <f ca="1">'Landscape Trees '!H123*0.9</f>
        <v>45</v>
      </c>
      <c r="H301" s="51" t="str">
        <f t="shared" ca="1" si="3"/>
        <v>Ashe's Magnolia #5-2021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'!A124</f>
        <v>Magnolia gra. 'D.D. Blanchard'</v>
      </c>
      <c r="B302" s="51" t="str">
        <f ca="1">'Landscape Trees '!C124</f>
        <v>DD Blanchard Magnolia</v>
      </c>
      <c r="C302" s="42" t="str">
        <f ca="1">'Landscape Trees '!D124</f>
        <v>#10</v>
      </c>
      <c r="D302" s="42" t="str">
        <f ca="1">'Landscape Trees '!E124</f>
        <v>Multi</v>
      </c>
      <c r="E302" s="42" t="str">
        <f ca="1">'Landscape Trees '!F124</f>
        <v>6-7'</v>
      </c>
      <c r="F302" s="52">
        <f ca="1">'Landscape Trees '!G124</f>
        <v>6</v>
      </c>
      <c r="G302" s="68">
        <f ca="1">'Landscape Trees '!H124*0.9</f>
        <v>108</v>
      </c>
      <c r="H302" s="51" t="str">
        <f t="shared" ca="1" si="3"/>
        <v>DD Blanchard Magnolia #10-2021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'!A125</f>
        <v>Magnolia macrophylla</v>
      </c>
      <c r="B303" s="51" t="str">
        <f ca="1">'Landscape Trees '!C125</f>
        <v>Bigleaf Magnolia</v>
      </c>
      <c r="C303" s="42" t="str">
        <f ca="1">'Landscape Trees '!D125</f>
        <v>#5</v>
      </c>
      <c r="D303" s="42" t="str">
        <f ca="1">'Landscape Trees '!E125</f>
        <v>0.25-0.5"</v>
      </c>
      <c r="E303" s="42" t="str">
        <f ca="1">'Landscape Trees '!F125</f>
        <v>3-3.5'</v>
      </c>
      <c r="F303" s="52">
        <f ca="1">'Landscape Trees '!G125</f>
        <v>3</v>
      </c>
      <c r="G303" s="68">
        <f ca="1">'Landscape Trees '!H125*0.9</f>
        <v>63</v>
      </c>
      <c r="H303" s="51" t="str">
        <f t="shared" ca="1" si="3"/>
        <v>Bigleaf Magnolia #5-2021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'!A126</f>
        <v>Magnolia tripetala</v>
      </c>
      <c r="B304" s="51" t="str">
        <f ca="1">'Landscape Trees '!C126</f>
        <v>Umbrella Magnolia</v>
      </c>
      <c r="C304" s="42" t="str">
        <f ca="1">'Landscape Trees '!D126</f>
        <v>#5</v>
      </c>
      <c r="D304" s="42" t="str">
        <f ca="1">'Landscape Trees '!E126</f>
        <v>0.25-0.25"</v>
      </c>
      <c r="E304" s="42" t="str">
        <f ca="1">'Landscape Trees '!F126</f>
        <v>3-5'</v>
      </c>
      <c r="F304" s="52">
        <f ca="1">'Landscape Trees '!G126</f>
        <v>6</v>
      </c>
      <c r="G304" s="68">
        <f ca="1">'Landscape Trees '!H126*0.9</f>
        <v>63</v>
      </c>
      <c r="H304" s="51" t="str">
        <f t="shared" ca="1" si="3"/>
        <v>Umbrella Magnolia #5-2021</v>
      </c>
      <c r="I304" s="54"/>
      <c r="J304" s="55">
        <f t="shared" ca="1" si="2"/>
        <v>0</v>
      </c>
      <c r="K304" s="55"/>
    </row>
    <row r="305" spans="1:11" ht="12.75" hidden="1" x14ac:dyDescent="0.2">
      <c r="A305" s="51" t="str">
        <f ca="1">'Landscape Trees '!A127</f>
        <v>Magnolia virginiana</v>
      </c>
      <c r="B305" s="51" t="str">
        <f ca="1">'Landscape Trees '!C127</f>
        <v>Sweet Bay Magnolia</v>
      </c>
      <c r="C305" s="42" t="str">
        <f ca="1">'Landscape Trees '!D127</f>
        <v>#5</v>
      </c>
      <c r="D305" s="42" t="str">
        <f ca="1">'Landscape Trees '!E127</f>
        <v>Multi</v>
      </c>
      <c r="E305" s="42" t="str">
        <f ca="1">'Landscape Trees '!F127</f>
        <v>3-6'</v>
      </c>
      <c r="F305" s="52">
        <f ca="1">'Landscape Trees '!G127</f>
        <v>2</v>
      </c>
      <c r="G305" s="53">
        <f ca="1">'Landscape Trees '!H127*0.9</f>
        <v>45</v>
      </c>
      <c r="H305" s="51" t="str">
        <f t="shared" ca="1" si="3"/>
        <v>Sweet Bay Magnolia #5-2021</v>
      </c>
      <c r="I305" s="69"/>
      <c r="J305" s="55">
        <f t="shared" ca="1" si="2"/>
        <v>0</v>
      </c>
      <c r="K305" s="55"/>
    </row>
    <row r="306" spans="1:11" ht="12.75" x14ac:dyDescent="0.2">
      <c r="A306" s="51" t="str">
        <f ca="1">'Landscape Trees '!A128</f>
        <v>Magnolia virginiana 'Moonglow'</v>
      </c>
      <c r="B306" s="51" t="str">
        <f ca="1">'Landscape Trees '!C128</f>
        <v>Moonglow Magnolia</v>
      </c>
      <c r="C306" s="42" t="str">
        <f ca="1">'Landscape Trees '!D128</f>
        <v>#5</v>
      </c>
      <c r="D306" s="42" t="str">
        <f ca="1">'Landscape Trees '!E128</f>
        <v>0.5-1"</v>
      </c>
      <c r="E306" s="42" t="str">
        <f ca="1">'Landscape Trees '!F128</f>
        <v>3-7'</v>
      </c>
      <c r="F306" s="52">
        <f ca="1">'Landscape Trees '!G128</f>
        <v>29</v>
      </c>
      <c r="G306" s="68">
        <f ca="1">'Landscape Trees '!H128*0.9</f>
        <v>45</v>
      </c>
      <c r="H306" s="51" t="str">
        <f t="shared" ca="1" si="3"/>
        <v>Moonglow Magnolia #5-2021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'!A129</f>
        <v>Magnolia x 'Ann'</v>
      </c>
      <c r="B307" s="51" t="str">
        <f ca="1">'Landscape Trees '!C129</f>
        <v>Ann Magnolia</v>
      </c>
      <c r="C307" s="42" t="str">
        <f ca="1">'Landscape Trees '!D129</f>
        <v>#5</v>
      </c>
      <c r="D307" s="42" t="str">
        <f ca="1">'Landscape Trees '!E129</f>
        <v>Multi</v>
      </c>
      <c r="E307" s="42" t="str">
        <f ca="1">'Landscape Trees '!F129</f>
        <v>5-7'</v>
      </c>
      <c r="F307" s="52">
        <f ca="1">'Landscape Trees '!G129</f>
        <v>2</v>
      </c>
      <c r="G307" s="68">
        <f ca="1">'Landscape Trees '!H129*0.9</f>
        <v>63</v>
      </c>
      <c r="H307" s="51" t="str">
        <f t="shared" ca="1" si="3"/>
        <v>Ann Magnolia #5-2021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'!A130</f>
        <v>Magnolia x 'Jane'</v>
      </c>
      <c r="B308" s="51" t="str">
        <f ca="1">'Landscape Trees '!C130</f>
        <v>Jane Magnolia</v>
      </c>
      <c r="C308" s="42" t="str">
        <f ca="1">'Landscape Trees '!D130</f>
        <v>#5</v>
      </c>
      <c r="D308" s="42" t="str">
        <f ca="1">'Landscape Trees '!E130</f>
        <v>Multi</v>
      </c>
      <c r="E308" s="42" t="str">
        <f ca="1">'Landscape Trees '!F130</f>
        <v>4-5'</v>
      </c>
      <c r="F308" s="52">
        <f ca="1">'Landscape Trees '!G130</f>
        <v>6</v>
      </c>
      <c r="G308" s="68">
        <f ca="1">'Landscape Trees '!H130*0.9</f>
        <v>63</v>
      </c>
      <c r="H308" s="51" t="str">
        <f t="shared" ca="1" si="3"/>
        <v>Jane Magnolia #5-2021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'!A131</f>
        <v>Malus 'Prairifire'</v>
      </c>
      <c r="B309" s="51" t="str">
        <f ca="1">'Landscape Trees '!C131</f>
        <v>Prairifire Crabapple</v>
      </c>
      <c r="C309" s="42" t="str">
        <f ca="1">'Landscape Trees '!D131</f>
        <v>#5</v>
      </c>
      <c r="D309" s="42" t="str">
        <f ca="1">'Landscape Trees '!E131</f>
        <v>0.5-1"</v>
      </c>
      <c r="E309" s="42" t="str">
        <f ca="1">'Landscape Trees '!F131</f>
        <v>5-7.5'</v>
      </c>
      <c r="F309" s="52">
        <f ca="1">'Landscape Trees '!G131</f>
        <v>9</v>
      </c>
      <c r="G309" s="68">
        <f ca="1">'Landscape Trees '!H131*0.9</f>
        <v>45</v>
      </c>
      <c r="H309" s="51" t="str">
        <f t="shared" ca="1" si="3"/>
        <v>Prairifire Crabapple #5-2021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'!A132</f>
        <v>Malus 'Prairifire'</v>
      </c>
      <c r="B310" s="51" t="str">
        <f ca="1">'Landscape Trees '!C132</f>
        <v>Prairifire Crabapple</v>
      </c>
      <c r="C310" s="42" t="str">
        <f ca="1">'Landscape Trees '!D132</f>
        <v>#15</v>
      </c>
      <c r="D310" s="42" t="str">
        <f ca="1">'Landscape Trees '!E132</f>
        <v>0.75-1.25"</v>
      </c>
      <c r="E310" s="42" t="str">
        <f ca="1">'Landscape Trees '!F132</f>
        <v>8-10'</v>
      </c>
      <c r="F310" s="52">
        <f ca="1">'Landscape Trees '!G132</f>
        <v>21</v>
      </c>
      <c r="G310" s="68">
        <f ca="1">'Landscape Trees '!H132*0.9</f>
        <v>121.5</v>
      </c>
      <c r="H310" s="51" t="str">
        <f t="shared" ca="1" si="3"/>
        <v>Prairifire Crabapple #15-2021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'!A133</f>
        <v>Malus 'Sugar Tyme'</v>
      </c>
      <c r="B311" s="51" t="str">
        <f ca="1">'Landscape Trees '!C133</f>
        <v>Sugar Tyme Crabapple</v>
      </c>
      <c r="C311" s="42" t="str">
        <f ca="1">'Landscape Trees '!D133</f>
        <v>#15</v>
      </c>
      <c r="D311" s="42" t="str">
        <f ca="1">'Landscape Trees '!E133</f>
        <v>1-1.75"</v>
      </c>
      <c r="E311" s="42" t="str">
        <f ca="1">'Landscape Trees '!F133</f>
        <v>8-10'</v>
      </c>
      <c r="F311" s="52">
        <f ca="1">'Landscape Trees '!G133</f>
        <v>26</v>
      </c>
      <c r="G311" s="68">
        <f ca="1">'Landscape Trees '!H133*0.9</f>
        <v>121.5</v>
      </c>
      <c r="H311" s="51" t="str">
        <f t="shared" ca="1" si="3"/>
        <v>Sugar Tyme Crabapple #15-2021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'!A134</f>
        <v>Malus dolgo</v>
      </c>
      <c r="B312" s="51" t="str">
        <f ca="1">'Landscape Trees '!C134</f>
        <v>Dolgo Crabapple</v>
      </c>
      <c r="C312" s="42" t="str">
        <f ca="1">'Landscape Trees '!D134</f>
        <v>#5</v>
      </c>
      <c r="D312" s="42" t="str">
        <f ca="1">'Landscape Trees '!E134</f>
        <v>0.5-1"</v>
      </c>
      <c r="E312" s="42" t="str">
        <f ca="1">'Landscape Trees '!F134</f>
        <v>4-9'</v>
      </c>
      <c r="F312" s="52">
        <f ca="1">'Landscape Trees '!G134</f>
        <v>21</v>
      </c>
      <c r="G312" s="68">
        <f ca="1">'Landscape Trees '!H134*0.9</f>
        <v>45</v>
      </c>
      <c r="H312" s="51" t="str">
        <f t="shared" ca="1" si="3"/>
        <v>Dolgo Crabapple #5-2021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'!A135</f>
        <v>Metasequoia glyptostroboides</v>
      </c>
      <c r="B313" s="51" t="str">
        <f ca="1">'Landscape Trees '!C135</f>
        <v>Dawn Redwood</v>
      </c>
      <c r="C313" s="42" t="str">
        <f ca="1">'Landscape Trees '!D135</f>
        <v>#5</v>
      </c>
      <c r="D313" s="42" t="str">
        <f ca="1">'Landscape Trees '!E135</f>
        <v>0.25-1.25"</v>
      </c>
      <c r="E313" s="42" t="str">
        <f ca="1">'Landscape Trees '!F135</f>
        <v>3-9'</v>
      </c>
      <c r="F313" s="52">
        <f ca="1">'Landscape Trees '!G135</f>
        <v>222</v>
      </c>
      <c r="G313" s="68">
        <f ca="1">'Landscape Trees '!H135*0.9</f>
        <v>45</v>
      </c>
      <c r="H313" s="51" t="str">
        <f t="shared" ca="1" si="3"/>
        <v>Dawn Redwood #5-2021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'!A136</f>
        <v>Metasequoia glyptostroboides</v>
      </c>
      <c r="B314" s="51" t="str">
        <f ca="1">'Landscape Trees '!C136</f>
        <v>Dawn Redwood</v>
      </c>
      <c r="C314" s="42" t="str">
        <f ca="1">'Landscape Trees '!D136</f>
        <v>#25</v>
      </c>
      <c r="D314" s="42" t="str">
        <f ca="1">'Landscape Trees '!E136</f>
        <v>1.75-2.25"</v>
      </c>
      <c r="E314" s="42" t="str">
        <f ca="1">'Landscape Trees '!F136</f>
        <v>9-12'</v>
      </c>
      <c r="F314" s="52">
        <f ca="1">'Landscape Trees '!G136</f>
        <v>6</v>
      </c>
      <c r="G314" s="68">
        <f ca="1">'Landscape Trees '!H136*0.9</f>
        <v>135</v>
      </c>
      <c r="H314" s="51" t="str">
        <f t="shared" ca="1" si="3"/>
        <v>Dawn Redwood #25-2021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'!A137</f>
        <v>Myrica pennsylvanica</v>
      </c>
      <c r="B315" s="51" t="str">
        <f ca="1">'Landscape Trees '!C137</f>
        <v>Bayberry</v>
      </c>
      <c r="C315" s="42" t="str">
        <f ca="1">'Landscape Trees '!D137</f>
        <v>#5</v>
      </c>
      <c r="D315" s="42" t="str">
        <f ca="1">'Landscape Trees '!E137</f>
        <v>Multi</v>
      </c>
      <c r="E315" s="42" t="str">
        <f ca="1">'Landscape Trees '!F137</f>
        <v>2-5'</v>
      </c>
      <c r="F315" s="52">
        <f ca="1">'Landscape Trees '!G137</f>
        <v>24</v>
      </c>
      <c r="G315" s="68">
        <f ca="1">'Landscape Trees '!H137*0.9</f>
        <v>33.300000000000004</v>
      </c>
      <c r="H315" s="51" t="str">
        <f t="shared" ca="1" si="3"/>
        <v>Bayberry #5-2021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'!A138</f>
        <v>Nyssa sylvatica</v>
      </c>
      <c r="B316" s="51" t="str">
        <f ca="1">'Landscape Trees '!C138</f>
        <v>Black Gum</v>
      </c>
      <c r="C316" s="42" t="str">
        <f ca="1">'Landscape Trees '!D138</f>
        <v>#5</v>
      </c>
      <c r="D316" s="42" t="str">
        <f ca="1">'Landscape Trees '!E138</f>
        <v>0.25-1.25"</v>
      </c>
      <c r="E316" s="42" t="str">
        <f ca="1">'Landscape Trees '!F138</f>
        <v>4-7'</v>
      </c>
      <c r="F316" s="52">
        <f ca="1">'Landscape Trees '!G138</f>
        <v>196</v>
      </c>
      <c r="G316" s="68">
        <f ca="1">'Landscape Trees '!H138*0.9</f>
        <v>45</v>
      </c>
      <c r="H316" s="51" t="str">
        <f t="shared" ca="1" si="3"/>
        <v>Black Gum #5-2021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'!A139</f>
        <v>Ostrya virginiana</v>
      </c>
      <c r="B317" s="51" t="str">
        <f ca="1">'Landscape Trees '!C139</f>
        <v>American Hophornbeam</v>
      </c>
      <c r="C317" s="42" t="str">
        <f ca="1">'Landscape Trees '!D139</f>
        <v>#5</v>
      </c>
      <c r="D317" s="42" t="str">
        <f ca="1">'Landscape Trees '!E139</f>
        <v>0.25-1"</v>
      </c>
      <c r="E317" s="42" t="str">
        <f ca="1">'Landscape Trees '!F139</f>
        <v>3-11'</v>
      </c>
      <c r="F317" s="52">
        <f ca="1">'Landscape Trees '!G139</f>
        <v>313</v>
      </c>
      <c r="G317" s="68">
        <f ca="1">'Landscape Trees '!H139*0.9</f>
        <v>45</v>
      </c>
      <c r="H317" s="51" t="str">
        <f t="shared" ca="1" si="3"/>
        <v>American Hophornbeam #5-2021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'!A140</f>
        <v>Ostrya virginiana</v>
      </c>
      <c r="B318" s="51" t="str">
        <f ca="1">'Landscape Trees '!C140</f>
        <v>American Hophornbeam</v>
      </c>
      <c r="C318" s="42" t="str">
        <f ca="1">'Landscape Trees '!D140</f>
        <v>#15</v>
      </c>
      <c r="D318" s="42" t="str">
        <f ca="1">'Landscape Trees '!E140</f>
        <v>1-1.5"</v>
      </c>
      <c r="E318" s="42" t="str">
        <f ca="1">'Landscape Trees '!F140</f>
        <v>9.5-11'</v>
      </c>
      <c r="F318" s="52">
        <f ca="1">'Landscape Trees '!G140</f>
        <v>4</v>
      </c>
      <c r="G318" s="68">
        <f ca="1">'Landscape Trees '!H140*0.9</f>
        <v>121.5</v>
      </c>
      <c r="H318" s="51" t="str">
        <f t="shared" ca="1" si="3"/>
        <v>American Hophornbeam #15-2021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'!A141</f>
        <v>Oxydendrum arboreum</v>
      </c>
      <c r="B319" s="51" t="str">
        <f ca="1">'Landscape Trees '!C141</f>
        <v>Sourwood</v>
      </c>
      <c r="C319" s="42" t="str">
        <f ca="1">'Landscape Trees '!D141</f>
        <v>#5</v>
      </c>
      <c r="D319" s="42" t="str">
        <f ca="1">'Landscape Trees '!E141</f>
        <v>0.25-0.25"</v>
      </c>
      <c r="E319" s="42" t="str">
        <f ca="1">'Landscape Trees '!F141</f>
        <v>2-7'</v>
      </c>
      <c r="F319" s="52">
        <f ca="1">'Landscape Trees '!G141</f>
        <v>41</v>
      </c>
      <c r="G319" s="68">
        <f ca="1">'Landscape Trees '!H141*0.9</f>
        <v>45</v>
      </c>
      <c r="H319" s="51" t="str">
        <f t="shared" ca="1" si="3"/>
        <v>Sourwood #5-2021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'!A142</f>
        <v>Oxydendrum arboreum</v>
      </c>
      <c r="B320" s="51" t="str">
        <f ca="1">'Landscape Trees '!C142</f>
        <v>Sourwood</v>
      </c>
      <c r="C320" s="42" t="str">
        <f ca="1">'Landscape Trees '!D142</f>
        <v>#5</v>
      </c>
      <c r="D320" s="42" t="str">
        <f ca="1">'Landscape Trees '!E142</f>
        <v>Multi</v>
      </c>
      <c r="E320" s="42" t="str">
        <f ca="1">'Landscape Trees '!F142</f>
        <v>2-7'</v>
      </c>
      <c r="F320" s="52">
        <f ca="1">'Landscape Trees '!G142</f>
        <v>21</v>
      </c>
      <c r="G320" s="68">
        <f ca="1">'Landscape Trees '!H142*0.9</f>
        <v>45</v>
      </c>
      <c r="H320" s="51" t="str">
        <f t="shared" ca="1" si="3"/>
        <v>Sourwood #5-2021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'!A143</f>
        <v>Parrotia persica</v>
      </c>
      <c r="B321" s="51" t="str">
        <f ca="1">'Landscape Trees '!C143</f>
        <v>Persian Parrotia</v>
      </c>
      <c r="C321" s="42" t="str">
        <f ca="1">'Landscape Trees '!D143</f>
        <v>#5</v>
      </c>
      <c r="D321" s="42" t="str">
        <f ca="1">'Landscape Trees '!E143</f>
        <v>0.75-1.25"</v>
      </c>
      <c r="E321" s="42" t="str">
        <f ca="1">'Landscape Trees '!F143</f>
        <v>3-6'</v>
      </c>
      <c r="F321" s="52">
        <f ca="1">'Landscape Trees '!G143</f>
        <v>25</v>
      </c>
      <c r="G321" s="68">
        <f ca="1">'Landscape Trees '!H143*0.9</f>
        <v>45</v>
      </c>
      <c r="H321" s="51" t="str">
        <f t="shared" ca="1" si="3"/>
        <v>Persian Parrotia #5-2021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'!A144</f>
        <v>Picea abies</v>
      </c>
      <c r="B322" s="51" t="str">
        <f ca="1">'Landscape Trees '!C144</f>
        <v>Norway Spruce</v>
      </c>
      <c r="C322" s="42" t="str">
        <f ca="1">'Landscape Trees '!D144</f>
        <v>#5</v>
      </c>
      <c r="D322" s="42" t="str">
        <f ca="1">'Landscape Trees '!E144</f>
        <v>1-1.25"</v>
      </c>
      <c r="E322" s="42" t="str">
        <f ca="1">'Landscape Trees '!F144</f>
        <v>2.5-4'</v>
      </c>
      <c r="F322" s="52">
        <f ca="1">'Landscape Trees '!G144</f>
        <v>31</v>
      </c>
      <c r="G322" s="68">
        <f ca="1">'Landscape Trees '!H144*0.9</f>
        <v>45</v>
      </c>
      <c r="H322" s="51" t="str">
        <f t="shared" ca="1" si="3"/>
        <v>Norway Spruce #5-2021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'!A145</f>
        <v>Pinus strobus</v>
      </c>
      <c r="B323" s="51" t="str">
        <f ca="1">'Landscape Trees '!C145</f>
        <v>Eastern White Pine</v>
      </c>
      <c r="C323" s="42" t="str">
        <f ca="1">'Landscape Trees '!D145</f>
        <v>#5</v>
      </c>
      <c r="D323" s="42" t="str">
        <f ca="1">'Landscape Trees '!E145</f>
        <v>0.5-0.75"</v>
      </c>
      <c r="E323" s="42" t="str">
        <f ca="1">'Landscape Trees '!F145</f>
        <v>2.5-3'</v>
      </c>
      <c r="F323" s="52">
        <f ca="1">'Landscape Trees '!G145</f>
        <v>41</v>
      </c>
      <c r="G323" s="68">
        <f ca="1">'Landscape Trees '!H145*0.9</f>
        <v>45</v>
      </c>
      <c r="H323" s="51" t="str">
        <f t="shared" ca="1" si="3"/>
        <v>Eastern White Pine #5-2021</v>
      </c>
      <c r="I323" s="54"/>
      <c r="J323" s="55">
        <f t="shared" ca="1" si="2"/>
        <v>0</v>
      </c>
      <c r="K323" s="55"/>
    </row>
    <row r="324" spans="1:11" ht="12.75" hidden="1" x14ac:dyDescent="0.2">
      <c r="A324" s="51" t="str">
        <f ca="1">'Landscape Trees '!A146</f>
        <v>Platanus occidentalis</v>
      </c>
      <c r="B324" s="51" t="str">
        <f ca="1">'Landscape Trees '!C146</f>
        <v>American Sycamore</v>
      </c>
      <c r="C324" s="42" t="str">
        <f ca="1">'Landscape Trees '!D146</f>
        <v>#5</v>
      </c>
      <c r="D324" s="42" t="str">
        <f ca="1">'Landscape Trees '!E146</f>
        <v>0.25-1.25"</v>
      </c>
      <c r="E324" s="42" t="str">
        <f ca="1">'Landscape Trees '!F146</f>
        <v>1-11'</v>
      </c>
      <c r="F324" s="52">
        <f ca="1">'Landscape Trees '!G146</f>
        <v>51</v>
      </c>
      <c r="G324" s="53">
        <f ca="1">'Landscape Trees '!H146*0.9</f>
        <v>45</v>
      </c>
      <c r="H324" s="51" t="str">
        <f t="shared" ca="1" si="3"/>
        <v>American Sycamore #5-2021</v>
      </c>
      <c r="I324" s="69"/>
      <c r="J324" s="55">
        <f t="shared" ca="1" si="2"/>
        <v>0</v>
      </c>
      <c r="K324" s="55"/>
    </row>
    <row r="325" spans="1:11" ht="12.75" x14ac:dyDescent="0.2">
      <c r="A325" s="51" t="str">
        <f ca="1">'Landscape Trees '!A147</f>
        <v>Platanus occidentalis</v>
      </c>
      <c r="B325" s="51" t="str">
        <f ca="1">'Landscape Trees '!C147</f>
        <v>American Sycamore</v>
      </c>
      <c r="C325" s="42" t="str">
        <f ca="1">'Landscape Trees '!D147</f>
        <v>#15</v>
      </c>
      <c r="D325" s="42" t="str">
        <f ca="1">'Landscape Trees '!E147</f>
        <v>1.25-1.5"</v>
      </c>
      <c r="E325" s="42" t="str">
        <f ca="1">'Landscape Trees '!F147</f>
        <v>12-14'</v>
      </c>
      <c r="F325" s="52">
        <f ca="1">'Landscape Trees '!G147</f>
        <v>1</v>
      </c>
      <c r="G325" s="68">
        <f ca="1">'Landscape Trees '!H147*0.9</f>
        <v>121.5</v>
      </c>
      <c r="H325" s="51" t="str">
        <f t="shared" ca="1" si="3"/>
        <v>American Sycamore #15-2021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'!A148</f>
        <v>Platanus x acerifolia 'Exclamation'</v>
      </c>
      <c r="B326" s="51" t="str">
        <f ca="1">'Landscape Trees '!C148</f>
        <v>Exclamation London Plane Tree</v>
      </c>
      <c r="C326" s="42" t="str">
        <f ca="1">'Landscape Trees '!D148</f>
        <v>#5</v>
      </c>
      <c r="D326" s="42" t="str">
        <f ca="1">'Landscape Trees '!E148</f>
        <v>0.75-1"</v>
      </c>
      <c r="E326" s="42" t="str">
        <f ca="1">'Landscape Trees '!F148</f>
        <v>5-6'</v>
      </c>
      <c r="F326" s="52">
        <f ca="1">'Landscape Trees '!G148</f>
        <v>6</v>
      </c>
      <c r="G326" s="68">
        <f ca="1">'Landscape Trees '!H148*0.9</f>
        <v>45</v>
      </c>
      <c r="H326" s="51" t="str">
        <f t="shared" ca="1" si="3"/>
        <v>Exclamation London Plane Tree #5-2021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'!A149</f>
        <v>Platanus x acerifolia 'Exclamation'</v>
      </c>
      <c r="B327" s="51" t="str">
        <f ca="1">'Landscape Trees '!C149</f>
        <v>Exclamation London Plane Tree</v>
      </c>
      <c r="C327" s="42" t="str">
        <f ca="1">'Landscape Trees '!D149</f>
        <v>#10</v>
      </c>
      <c r="D327" s="42" t="str">
        <f ca="1">'Landscape Trees '!E149</f>
        <v>0.75-2"</v>
      </c>
      <c r="E327" s="42" t="str">
        <f ca="1">'Landscape Trees '!F149</f>
        <v>6-14'</v>
      </c>
      <c r="F327" s="52">
        <f ca="1">'Landscape Trees '!G149</f>
        <v>44</v>
      </c>
      <c r="G327" s="68">
        <f ca="1">'Landscape Trees '!H149*0.9</f>
        <v>90</v>
      </c>
      <c r="H327" s="51" t="str">
        <f t="shared" ca="1" si="3"/>
        <v>Exclamation London Plane Tree #10-2021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'!A150</f>
        <v>Platanus x acerifolia 'Exclamation'</v>
      </c>
      <c r="B328" s="51" t="str">
        <f ca="1">'Landscape Trees '!C150</f>
        <v>Exclamation London Plane Tree</v>
      </c>
      <c r="C328" s="42" t="str">
        <f ca="1">'Landscape Trees '!D150</f>
        <v>#15</v>
      </c>
      <c r="D328" s="42" t="str">
        <f ca="1">'Landscape Trees '!E150</f>
        <v>1.25-2"</v>
      </c>
      <c r="E328" s="42" t="str">
        <f ca="1">'Landscape Trees '!F150</f>
        <v>7-12'</v>
      </c>
      <c r="F328" s="52">
        <f ca="1">'Landscape Trees '!G150</f>
        <v>16</v>
      </c>
      <c r="G328" s="68">
        <f ca="1">'Landscape Trees '!H150*0.9</f>
        <v>121.5</v>
      </c>
      <c r="H328" s="51" t="str">
        <f t="shared" ca="1" si="3"/>
        <v>Exclamation London Plane Tree #15-2021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'!A151</f>
        <v>Populus tremuloides</v>
      </c>
      <c r="B329" s="51" t="str">
        <f ca="1">'Landscape Trees '!C151</f>
        <v>Quaking Aspen</v>
      </c>
      <c r="C329" s="42" t="str">
        <f ca="1">'Landscape Trees '!D151</f>
        <v>#5</v>
      </c>
      <c r="D329" s="42" t="str">
        <f ca="1">'Landscape Trees '!E151</f>
        <v>0.5-1"</v>
      </c>
      <c r="E329" s="42" t="str">
        <f ca="1">'Landscape Trees '!F151</f>
        <v>5-9'</v>
      </c>
      <c r="F329" s="52">
        <f ca="1">'Landscape Trees '!G151</f>
        <v>56</v>
      </c>
      <c r="G329" s="68">
        <f ca="1">'Landscape Trees '!H151*0.9</f>
        <v>45</v>
      </c>
      <c r="H329" s="51" t="str">
        <f t="shared" ca="1" si="3"/>
        <v>Quaking Aspen #5-2021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'!A152</f>
        <v>Prunus 'Autumnalis'</v>
      </c>
      <c r="B330" s="51" t="str">
        <f ca="1">'Landscape Trees '!C152</f>
        <v>Autumnalis Cherry</v>
      </c>
      <c r="C330" s="42" t="str">
        <f ca="1">'Landscape Trees '!D152</f>
        <v>#10</v>
      </c>
      <c r="D330" s="42" t="str">
        <f ca="1">'Landscape Trees '!E152</f>
        <v>0.75-1.75"</v>
      </c>
      <c r="E330" s="42" t="str">
        <f ca="1">'Landscape Trees '!F152</f>
        <v>6-11'</v>
      </c>
      <c r="F330" s="52">
        <f ca="1">'Landscape Trees '!G152</f>
        <v>31</v>
      </c>
      <c r="G330" s="68">
        <f ca="1">'Landscape Trees '!H152*0.9</f>
        <v>90</v>
      </c>
      <c r="H330" s="51" t="str">
        <f t="shared" ca="1" si="3"/>
        <v>Autumnalis Cherry #10-2021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'!A153</f>
        <v>Prunus 'Autumnalis'</v>
      </c>
      <c r="B331" s="51" t="str">
        <f ca="1">'Landscape Trees '!C153</f>
        <v>Autumnalis Cherry</v>
      </c>
      <c r="C331" s="42" t="str">
        <f ca="1">'Landscape Trees '!D153</f>
        <v>#15</v>
      </c>
      <c r="D331" s="42" t="str">
        <f ca="1">'Landscape Trees '!E153</f>
        <v>1-1.25"</v>
      </c>
      <c r="E331" s="42" t="str">
        <f ca="1">'Landscape Trees '!F153</f>
        <v>8-11'</v>
      </c>
      <c r="F331" s="52">
        <f ca="1">'Landscape Trees '!G153</f>
        <v>3</v>
      </c>
      <c r="G331" s="68">
        <f ca="1">'Landscape Trees '!H153*0.9</f>
        <v>121.5</v>
      </c>
      <c r="H331" s="51" t="str">
        <f t="shared" ca="1" si="3"/>
        <v>Autumnalis Cherry #15-2021</v>
      </c>
      <c r="I331" s="54"/>
      <c r="J331" s="55">
        <f t="shared" ca="1" si="2"/>
        <v>0</v>
      </c>
      <c r="K331" s="55"/>
    </row>
    <row r="332" spans="1:11" ht="12.75" hidden="1" x14ac:dyDescent="0.2">
      <c r="A332" s="51" t="str">
        <f ca="1">'Landscape Trees '!A154</f>
        <v>Prunus 'Mt. Fuji'</v>
      </c>
      <c r="B332" s="51" t="str">
        <f ca="1">'Landscape Trees '!C154</f>
        <v>Mt Fuji Cherry</v>
      </c>
      <c r="C332" s="42" t="str">
        <f ca="1">'Landscape Trees '!D154</f>
        <v>#15</v>
      </c>
      <c r="D332" s="42" t="str">
        <f ca="1">'Landscape Trees '!E154</f>
        <v>1.25-1.25"</v>
      </c>
      <c r="E332" s="42" t="str">
        <f ca="1">'Landscape Trees '!F154</f>
        <v>9-10'</v>
      </c>
      <c r="F332" s="52">
        <f ca="1">'Landscape Trees '!G154</f>
        <v>5</v>
      </c>
      <c r="G332" s="53">
        <f ca="1">'Landscape Trees '!H154*0.9</f>
        <v>121.5</v>
      </c>
      <c r="H332" s="51" t="str">
        <f t="shared" ca="1" si="3"/>
        <v>Mt Fuji Cherry #15-2021</v>
      </c>
      <c r="I332" s="69"/>
      <c r="J332" s="55">
        <f t="shared" ca="1" si="2"/>
        <v>0</v>
      </c>
      <c r="K332" s="55"/>
    </row>
    <row r="333" spans="1:11" ht="12.75" x14ac:dyDescent="0.2">
      <c r="A333" s="51" t="str">
        <f ca="1">'Landscape Trees '!A155</f>
        <v>Prunus 'Okame'</v>
      </c>
      <c r="B333" s="51" t="str">
        <f ca="1">'Landscape Trees '!C155</f>
        <v>Okame Cherry</v>
      </c>
      <c r="C333" s="42" t="str">
        <f ca="1">'Landscape Trees '!D155</f>
        <v>#10</v>
      </c>
      <c r="D333" s="42" t="str">
        <f ca="1">'Landscape Trees '!E155</f>
        <v>0.75-1.75"</v>
      </c>
      <c r="E333" s="42" t="str">
        <f ca="1">'Landscape Trees '!F155</f>
        <v>6-14'</v>
      </c>
      <c r="F333" s="52">
        <f ca="1">'Landscape Trees '!G155</f>
        <v>43</v>
      </c>
      <c r="G333" s="68">
        <f ca="1">'Landscape Trees '!H155*0.9</f>
        <v>90</v>
      </c>
      <c r="H333" s="51" t="str">
        <f t="shared" ca="1" si="3"/>
        <v>Okame Cherry #10-2021</v>
      </c>
      <c r="I333" s="54"/>
      <c r="J333" s="55">
        <f t="shared" ca="1" si="2"/>
        <v>0</v>
      </c>
      <c r="K333" s="55"/>
    </row>
    <row r="334" spans="1:11" ht="12.75" hidden="1" x14ac:dyDescent="0.2">
      <c r="A334" s="51" t="str">
        <f ca="1">'Landscape Trees '!A156</f>
        <v>Prunus 'Okame'</v>
      </c>
      <c r="B334" s="51" t="str">
        <f ca="1">'Landscape Trees '!C156</f>
        <v>Okame Cherry</v>
      </c>
      <c r="C334" s="42" t="str">
        <f ca="1">'Landscape Trees '!D156</f>
        <v>#15</v>
      </c>
      <c r="D334" s="42" t="str">
        <f ca="1">'Landscape Trees '!E156</f>
        <v>0.75-1.25"</v>
      </c>
      <c r="E334" s="42" t="str">
        <f ca="1">'Landscape Trees '!F156</f>
        <v>8-11'</v>
      </c>
      <c r="F334" s="52">
        <f ca="1">'Landscape Trees '!G156</f>
        <v>33</v>
      </c>
      <c r="G334" s="53">
        <f ca="1">'Landscape Trees '!H156*0.9</f>
        <v>121.5</v>
      </c>
      <c r="H334" s="51" t="str">
        <f t="shared" ca="1" si="3"/>
        <v>Okame Cherry #15-2021</v>
      </c>
      <c r="I334" s="69"/>
      <c r="J334" s="55">
        <f t="shared" ca="1" si="2"/>
        <v>0</v>
      </c>
      <c r="K334" s="55"/>
    </row>
    <row r="335" spans="1:11" ht="12.75" x14ac:dyDescent="0.2">
      <c r="A335" s="51" t="str">
        <f ca="1">'Landscape Trees '!A157</f>
        <v>Prunus × yedoensis</v>
      </c>
      <c r="B335" s="51" t="str">
        <f ca="1">'Landscape Trees '!C157</f>
        <v>Yoshino Cherry</v>
      </c>
      <c r="C335" s="42" t="str">
        <f ca="1">'Landscape Trees '!D157</f>
        <v>#5</v>
      </c>
      <c r="D335" s="42" t="str">
        <f ca="1">'Landscape Trees '!E157</f>
        <v>0.5-0.75"</v>
      </c>
      <c r="E335" s="42" t="str">
        <f ca="1">'Landscape Trees '!F157</f>
        <v>4-7'</v>
      </c>
      <c r="F335" s="52">
        <f ca="1">'Landscape Trees '!G157</f>
        <v>38</v>
      </c>
      <c r="G335" s="68">
        <f ca="1">'Landscape Trees '!H157*0.9</f>
        <v>45</v>
      </c>
      <c r="H335" s="51" t="str">
        <f t="shared" ca="1" si="3"/>
        <v>Yoshino Cherry #5-2021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'!A158</f>
        <v>Prunus × yedoensis</v>
      </c>
      <c r="B336" s="51" t="str">
        <f ca="1">'Landscape Trees '!C158</f>
        <v>Yoshino Cherry</v>
      </c>
      <c r="C336" s="42" t="str">
        <f ca="1">'Landscape Trees '!D158</f>
        <v>#15</v>
      </c>
      <c r="D336" s="42" t="str">
        <f ca="1">'Landscape Trees '!E158</f>
        <v>1-1.5"</v>
      </c>
      <c r="E336" s="42" t="str">
        <f ca="1">'Landscape Trees '!F158</f>
        <v>9-10.5'</v>
      </c>
      <c r="F336" s="52">
        <f ca="1">'Landscape Trees '!G158</f>
        <v>27</v>
      </c>
      <c r="G336" s="68">
        <f ca="1">'Landscape Trees '!H158*0.9</f>
        <v>121.5</v>
      </c>
      <c r="H336" s="51" t="str">
        <f t="shared" ca="1" si="3"/>
        <v>Yoshino Cherry #15-2021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'!A159</f>
        <v>Prunus americana</v>
      </c>
      <c r="B337" s="51" t="str">
        <f ca="1">'Landscape Trees '!C159</f>
        <v>American Plum</v>
      </c>
      <c r="C337" s="42" t="str">
        <f ca="1">'Landscape Trees '!D159</f>
        <v>#5</v>
      </c>
      <c r="D337" s="42" t="str">
        <f ca="1">'Landscape Trees '!E159</f>
        <v>0.25-1"</v>
      </c>
      <c r="E337" s="42" t="str">
        <f ca="1">'Landscape Trees '!F159</f>
        <v>2-10'</v>
      </c>
      <c r="F337" s="52">
        <f ca="1">'Landscape Trees '!G159</f>
        <v>39</v>
      </c>
      <c r="G337" s="68">
        <f ca="1">'Landscape Trees '!H159*0.9</f>
        <v>45</v>
      </c>
      <c r="H337" s="51" t="str">
        <f t="shared" ca="1" si="3"/>
        <v>American Plum #5-2021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'!A160</f>
        <v>Prunus cerasifera 'Thundercloud'</v>
      </c>
      <c r="B338" s="51" t="str">
        <f ca="1">'Landscape Trees '!C160</f>
        <v>Thundercloud Plum</v>
      </c>
      <c r="C338" s="42" t="str">
        <f ca="1">'Landscape Trees '!D160</f>
        <v>#15</v>
      </c>
      <c r="D338" s="42" t="str">
        <f ca="1">'Landscape Trees '!E160</f>
        <v>1-2"</v>
      </c>
      <c r="E338" s="42" t="str">
        <f ca="1">'Landscape Trees '!F160</f>
        <v>10-12'</v>
      </c>
      <c r="F338" s="52">
        <f ca="1">'Landscape Trees '!G160</f>
        <v>11</v>
      </c>
      <c r="G338" s="68">
        <f ca="1">'Landscape Trees '!H160*0.9</f>
        <v>121.5</v>
      </c>
      <c r="H338" s="51" t="str">
        <f t="shared" ca="1" si="3"/>
        <v>Thundercloud Plum #15-2021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'!A161</f>
        <v>Prunus serotina</v>
      </c>
      <c r="B339" s="51" t="str">
        <f ca="1">'Landscape Trees '!C161</f>
        <v>Black Cherry</v>
      </c>
      <c r="C339" s="42" t="str">
        <f ca="1">'Landscape Trees '!D161</f>
        <v>#5</v>
      </c>
      <c r="D339" s="42" t="str">
        <f ca="1">'Landscape Trees '!E161</f>
        <v>0.25-1.25"</v>
      </c>
      <c r="E339" s="42" t="str">
        <f ca="1">'Landscape Trees '!F161</f>
        <v>4-7'</v>
      </c>
      <c r="F339" s="52">
        <f ca="1">'Landscape Trees '!G161</f>
        <v>32</v>
      </c>
      <c r="G339" s="68">
        <f ca="1">'Landscape Trees '!H161*0.9</f>
        <v>45</v>
      </c>
      <c r="H339" s="51" t="str">
        <f t="shared" ca="1" si="3"/>
        <v>Black Cherry #5-2021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'!A162</f>
        <v>Prunus serrulata 'Kwanzan'</v>
      </c>
      <c r="B340" s="51" t="str">
        <f ca="1">'Landscape Trees '!C162</f>
        <v>Kwanzan Cherry</v>
      </c>
      <c r="C340" s="42" t="str">
        <f ca="1">'Landscape Trees '!D162</f>
        <v>#5</v>
      </c>
      <c r="D340" s="42" t="str">
        <f ca="1">'Landscape Trees '!E162</f>
        <v>0.25-1.5"</v>
      </c>
      <c r="E340" s="42" t="str">
        <f ca="1">'Landscape Trees '!F162</f>
        <v>4-8'</v>
      </c>
      <c r="F340" s="52">
        <f ca="1">'Landscape Trees '!G162</f>
        <v>27</v>
      </c>
      <c r="G340" s="68">
        <f ca="1">'Landscape Trees '!H162*0.9</f>
        <v>45</v>
      </c>
      <c r="H340" s="51" t="str">
        <f t="shared" ca="1" si="3"/>
        <v>Kwanzan Cherry #5-2021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'!A163</f>
        <v>Prunus serrulata 'Kwanzan'</v>
      </c>
      <c r="B341" s="51" t="str">
        <f ca="1">'Landscape Trees '!C163</f>
        <v>Kwanzan Cherry</v>
      </c>
      <c r="C341" s="42" t="str">
        <f ca="1">'Landscape Trees '!D163</f>
        <v>#10</v>
      </c>
      <c r="D341" s="42" t="str">
        <f ca="1">'Landscape Trees '!E163</f>
        <v>0.75-2"</v>
      </c>
      <c r="E341" s="42" t="str">
        <f ca="1">'Landscape Trees '!F163</f>
        <v>6-10'</v>
      </c>
      <c r="F341" s="52">
        <f ca="1">'Landscape Trees '!G163</f>
        <v>28</v>
      </c>
      <c r="G341" s="68">
        <f ca="1">'Landscape Trees '!H163*0.9</f>
        <v>90</v>
      </c>
      <c r="H341" s="51" t="str">
        <f t="shared" ca="1" si="3"/>
        <v>Kwanzan Cherry #10-2021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'!A164</f>
        <v>Prunus subhirtella 'Snow Fountains'</v>
      </c>
      <c r="B342" s="51" t="str">
        <f ca="1">'Landscape Trees '!C164</f>
        <v>Snow Fountains Weeping Cherry</v>
      </c>
      <c r="C342" s="42" t="str">
        <f ca="1">'Landscape Trees '!D164</f>
        <v>#15</v>
      </c>
      <c r="D342" s="42" t="str">
        <f ca="1">'Landscape Trees '!E164</f>
        <v>1.25-2.25"</v>
      </c>
      <c r="E342" s="42" t="str">
        <f ca="1">'Landscape Trees '!F164</f>
        <v>6-7'</v>
      </c>
      <c r="F342" s="52">
        <f ca="1">'Landscape Trees '!G164</f>
        <v>17</v>
      </c>
      <c r="G342" s="68">
        <f ca="1">'Landscape Trees '!H164*0.9</f>
        <v>121.5</v>
      </c>
      <c r="H342" s="51" t="str">
        <f t="shared" ca="1" si="3"/>
        <v>Snow Fountains Weeping Cherry #15-2021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'!A165</f>
        <v>Prunus subhirtella "Pendula plena rosea"</v>
      </c>
      <c r="B343" s="51" t="str">
        <f ca="1">'Landscape Trees '!C165</f>
        <v>Double Pink Weeping Cherry</v>
      </c>
      <c r="C343" s="42" t="str">
        <f ca="1">'Landscape Trees '!D165</f>
        <v>#15</v>
      </c>
      <c r="D343" s="42" t="str">
        <f ca="1">'Landscape Trees '!E165</f>
        <v>1-1.5"</v>
      </c>
      <c r="E343" s="42" t="str">
        <f ca="1">'Landscape Trees '!F165</f>
        <v>6.5-7'</v>
      </c>
      <c r="F343" s="52">
        <f ca="1">'Landscape Trees '!G165</f>
        <v>12</v>
      </c>
      <c r="G343" s="68">
        <f ca="1">'Landscape Trees '!H165*0.9</f>
        <v>121.5</v>
      </c>
      <c r="H343" s="51" t="str">
        <f t="shared" ca="1" si="3"/>
        <v>Double Pink Weeping Cherry #15-2021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'!A166</f>
        <v>Prunus virginiana</v>
      </c>
      <c r="B344" s="51" t="str">
        <f ca="1">'Landscape Trees '!C166</f>
        <v>Chokecherry</v>
      </c>
      <c r="C344" s="42" t="str">
        <f ca="1">'Landscape Trees '!D166</f>
        <v>#5</v>
      </c>
      <c r="D344" s="42" t="str">
        <f ca="1">'Landscape Trees '!E166</f>
        <v>Multi</v>
      </c>
      <c r="E344" s="42" t="str">
        <f ca="1">'Landscape Trees '!F166</f>
        <v>1.5-3'</v>
      </c>
      <c r="F344" s="52">
        <f ca="1">'Landscape Trees '!G166</f>
        <v>48</v>
      </c>
      <c r="G344" s="68">
        <f ca="1">'Landscape Trees '!H166*0.9</f>
        <v>45</v>
      </c>
      <c r="H344" s="51" t="str">
        <f t="shared" ca="1" si="3"/>
        <v>Chokecherry #5-2021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'!A167</f>
        <v>Prunus virginiana 'Shubert Select'</v>
      </c>
      <c r="B345" s="51" t="str">
        <f ca="1">'Landscape Trees '!C167</f>
        <v>Canada Red Select Cherry</v>
      </c>
      <c r="C345" s="42" t="str">
        <f ca="1">'Landscape Trees '!D167</f>
        <v>#15</v>
      </c>
      <c r="D345" s="42" t="str">
        <f ca="1">'Landscape Trees '!E167</f>
        <v>1.25-1.25"</v>
      </c>
      <c r="E345" s="42" t="str">
        <f ca="1">'Landscape Trees '!F167</f>
        <v>10-10.5'</v>
      </c>
      <c r="F345" s="52">
        <f ca="1">'Landscape Trees '!G167</f>
        <v>4</v>
      </c>
      <c r="G345" s="68">
        <f ca="1">'Landscape Trees '!H167*0.9</f>
        <v>121.5</v>
      </c>
      <c r="H345" s="51" t="str">
        <f t="shared" ca="1" si="3"/>
        <v>Canada Red Select Cherry #15-2021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'!A168</f>
        <v>Quercus alba</v>
      </c>
      <c r="B346" s="51" t="str">
        <f ca="1">'Landscape Trees '!C168</f>
        <v>White Oak</v>
      </c>
      <c r="C346" s="42" t="str">
        <f ca="1">'Landscape Trees '!D168</f>
        <v>#5</v>
      </c>
      <c r="D346" s="42" t="str">
        <f ca="1">'Landscape Trees '!E168</f>
        <v>0.5-0.75"</v>
      </c>
      <c r="E346" s="42" t="str">
        <f ca="1">'Landscape Trees '!F168</f>
        <v>3-6'</v>
      </c>
      <c r="F346" s="52">
        <f ca="1">'Landscape Trees '!G168</f>
        <v>68</v>
      </c>
      <c r="G346" s="68">
        <f ca="1">'Landscape Trees '!H168*0.9</f>
        <v>45</v>
      </c>
      <c r="H346" s="51" t="str">
        <f t="shared" ca="1" si="3"/>
        <v>White Oak #5-2021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'!A169</f>
        <v>Quercus alba</v>
      </c>
      <c r="B347" s="51" t="str">
        <f ca="1">'Landscape Trees '!C169</f>
        <v>White Oak</v>
      </c>
      <c r="C347" s="42" t="str">
        <f ca="1">'Landscape Trees '!D169</f>
        <v>#7</v>
      </c>
      <c r="D347" s="42" t="str">
        <f ca="1">'Landscape Trees '!E169</f>
        <v>0.5-1"</v>
      </c>
      <c r="E347" s="42" t="str">
        <f ca="1">'Landscape Trees '!F169</f>
        <v>4-10'</v>
      </c>
      <c r="F347" s="52">
        <f ca="1">'Landscape Trees '!G169</f>
        <v>1</v>
      </c>
      <c r="G347" s="68">
        <f ca="1">'Landscape Trees '!H169*0.9</f>
        <v>63</v>
      </c>
      <c r="H347" s="51" t="str">
        <f t="shared" ca="1" si="3"/>
        <v>White Oak #7-2021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'!A170</f>
        <v>Quercus alba</v>
      </c>
      <c r="B348" s="51" t="str">
        <f ca="1">'Landscape Trees '!C170</f>
        <v>White Oak</v>
      </c>
      <c r="C348" s="42" t="str">
        <f ca="1">'Landscape Trees '!D170</f>
        <v>#10</v>
      </c>
      <c r="D348" s="42" t="str">
        <f ca="1">'Landscape Trees '!E170</f>
        <v>0.5-1.25"</v>
      </c>
      <c r="E348" s="42" t="str">
        <f ca="1">'Landscape Trees '!F170</f>
        <v>6-9'</v>
      </c>
      <c r="F348" s="52">
        <f ca="1">'Landscape Trees '!G170</f>
        <v>30</v>
      </c>
      <c r="G348" s="68">
        <f ca="1">'Landscape Trees '!H170*0.9</f>
        <v>90</v>
      </c>
      <c r="H348" s="51" t="str">
        <f t="shared" ca="1" si="3"/>
        <v>White Oak #10-2021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'!A171</f>
        <v>Quercus alba</v>
      </c>
      <c r="B349" s="51" t="str">
        <f ca="1">'Landscape Trees '!C171</f>
        <v>White Oak</v>
      </c>
      <c r="C349" s="42" t="str">
        <f ca="1">'Landscape Trees '!D171</f>
        <v>#15</v>
      </c>
      <c r="D349" s="42" t="str">
        <f ca="1">'Landscape Trees '!E171</f>
        <v>1.25-1.75"</v>
      </c>
      <c r="E349" s="42" t="str">
        <f ca="1">'Landscape Trees '!F171</f>
        <v>8.5-10'</v>
      </c>
      <c r="F349" s="52">
        <f ca="1">'Landscape Trees '!G171</f>
        <v>3</v>
      </c>
      <c r="G349" s="68">
        <f ca="1">'Landscape Trees '!H171*0.9</f>
        <v>121.5</v>
      </c>
      <c r="H349" s="51" t="str">
        <f t="shared" ca="1" si="3"/>
        <v>White Oak #15-2021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'!A172</f>
        <v>Quercus bicolor</v>
      </c>
      <c r="B350" s="51" t="str">
        <f ca="1">'Landscape Trees '!C172</f>
        <v>Swamp White Oak</v>
      </c>
      <c r="C350" s="42" t="str">
        <f ca="1">'Landscape Trees '!D172</f>
        <v>#5</v>
      </c>
      <c r="D350" s="42" t="str">
        <f ca="1">'Landscape Trees '!E172</f>
        <v>0.5-1"</v>
      </c>
      <c r="E350" s="42" t="str">
        <f ca="1">'Landscape Trees '!F172</f>
        <v>3-9'</v>
      </c>
      <c r="F350" s="52">
        <f ca="1">'Landscape Trees '!G172</f>
        <v>311</v>
      </c>
      <c r="G350" s="68">
        <f ca="1">'Landscape Trees '!H172*0.9</f>
        <v>45</v>
      </c>
      <c r="H350" s="51" t="str">
        <f t="shared" ca="1" si="3"/>
        <v>Swamp White Oak #5-2021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'!A173</f>
        <v>Quercus bicolor</v>
      </c>
      <c r="B351" s="51" t="str">
        <f ca="1">'Landscape Trees '!C173</f>
        <v>Swamp White Oak</v>
      </c>
      <c r="C351" s="42" t="str">
        <f ca="1">'Landscape Trees '!D173</f>
        <v>#7</v>
      </c>
      <c r="D351" s="42" t="str">
        <f ca="1">'Landscape Trees '!E173</f>
        <v>0.5-0.75"</v>
      </c>
      <c r="E351" s="42" t="str">
        <f ca="1">'Landscape Trees '!F173</f>
        <v>3-7'</v>
      </c>
      <c r="F351" s="52">
        <f ca="1">'Landscape Trees '!G173</f>
        <v>50</v>
      </c>
      <c r="G351" s="68">
        <f ca="1">'Landscape Trees '!H173*0.9</f>
        <v>63</v>
      </c>
      <c r="H351" s="51" t="str">
        <f t="shared" ca="1" si="3"/>
        <v>Swamp White Oak #7-2021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'!A174</f>
        <v>Quercus bicolor</v>
      </c>
      <c r="B352" s="51" t="str">
        <f ca="1">'Landscape Trees '!C174</f>
        <v>Swamp White Oak</v>
      </c>
      <c r="C352" s="42" t="str">
        <f ca="1">'Landscape Trees '!D174</f>
        <v>#10</v>
      </c>
      <c r="D352" s="42" t="str">
        <f ca="1">'Landscape Trees '!E174</f>
        <v>0.75-1.25"</v>
      </c>
      <c r="E352" s="42" t="str">
        <f ca="1">'Landscape Trees '!F174</f>
        <v>4.5-10'</v>
      </c>
      <c r="F352" s="52">
        <f ca="1">'Landscape Trees '!G174</f>
        <v>100</v>
      </c>
      <c r="G352" s="68">
        <f ca="1">'Landscape Trees '!H174*0.9</f>
        <v>90</v>
      </c>
      <c r="H352" s="51" t="str">
        <f t="shared" ca="1" si="3"/>
        <v>Swamp White Oak #10-2021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'!A175</f>
        <v>Quercus bicolor</v>
      </c>
      <c r="B353" s="51" t="str">
        <f ca="1">'Landscape Trees '!C175</f>
        <v>Swamp White Oak</v>
      </c>
      <c r="C353" s="42" t="str">
        <f ca="1">'Landscape Trees '!D175</f>
        <v>#15</v>
      </c>
      <c r="D353" s="42" t="str">
        <f ca="1">'Landscape Trees '!E175</f>
        <v>1-1.75"</v>
      </c>
      <c r="E353" s="42" t="str">
        <f ca="1">'Landscape Trees '!F175</f>
        <v>10-12'</v>
      </c>
      <c r="F353" s="52">
        <f ca="1">'Landscape Trees '!G175</f>
        <v>4</v>
      </c>
      <c r="G353" s="68">
        <f ca="1">'Landscape Trees '!H175*0.9</f>
        <v>121.5</v>
      </c>
      <c r="H353" s="51" t="str">
        <f t="shared" ca="1" si="3"/>
        <v>Swamp White Oak #15-2021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'!A176</f>
        <v>Quercus hemisphaerica</v>
      </c>
      <c r="B354" s="51" t="str">
        <f ca="1">'Landscape Trees '!C176</f>
        <v>Laurel Oak</v>
      </c>
      <c r="C354" s="42" t="str">
        <f ca="1">'Landscape Trees '!D176</f>
        <v>#5</v>
      </c>
      <c r="D354" s="42" t="str">
        <f ca="1">'Landscape Trees '!E176</f>
        <v>0.5-1"</v>
      </c>
      <c r="E354" s="42" t="str">
        <f ca="1">'Landscape Trees '!F176</f>
        <v>4-7'</v>
      </c>
      <c r="F354" s="52">
        <f ca="1">'Landscape Trees '!G176</f>
        <v>3</v>
      </c>
      <c r="G354" s="68">
        <f ca="1">'Landscape Trees '!H176*0.9</f>
        <v>45</v>
      </c>
      <c r="H354" s="51" t="str">
        <f t="shared" ca="1" si="3"/>
        <v>Laurel Oak #5-2021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'!A177</f>
        <v>Quercus imbricaria</v>
      </c>
      <c r="B355" s="51" t="str">
        <f ca="1">'Landscape Trees '!C177</f>
        <v>Shingle Oak</v>
      </c>
      <c r="C355" s="42" t="str">
        <f ca="1">'Landscape Trees '!D177</f>
        <v>#5</v>
      </c>
      <c r="D355" s="42" t="str">
        <f ca="1">'Landscape Trees '!E177</f>
        <v>0.25-1"</v>
      </c>
      <c r="E355" s="42" t="str">
        <f ca="1">'Landscape Trees '!F177</f>
        <v>2-8'</v>
      </c>
      <c r="F355" s="52">
        <f ca="1">'Landscape Trees '!G177</f>
        <v>28</v>
      </c>
      <c r="G355" s="68">
        <f ca="1">'Landscape Trees '!H177*0.9</f>
        <v>45</v>
      </c>
      <c r="H355" s="51" t="str">
        <f t="shared" ca="1" si="3"/>
        <v>Shingle Oak #5-2021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'!A178</f>
        <v>Quercus lyrata</v>
      </c>
      <c r="B356" s="51" t="str">
        <f ca="1">'Landscape Trees '!C178</f>
        <v>Overcup Oak</v>
      </c>
      <c r="C356" s="42" t="str">
        <f ca="1">'Landscape Trees '!D178</f>
        <v>#5</v>
      </c>
      <c r="D356" s="42" t="str">
        <f ca="1">'Landscape Trees '!E178</f>
        <v>0.25-1"</v>
      </c>
      <c r="E356" s="42" t="str">
        <f ca="1">'Landscape Trees '!F178</f>
        <v>3-8'</v>
      </c>
      <c r="F356" s="52">
        <f ca="1">'Landscape Trees '!G178</f>
        <v>10</v>
      </c>
      <c r="G356" s="68">
        <f ca="1">'Landscape Trees '!H178*0.9</f>
        <v>45</v>
      </c>
      <c r="H356" s="51" t="str">
        <f t="shared" ca="1" si="3"/>
        <v>Overcup Oak #5-2021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'!A179</f>
        <v>Quercus macrocarpa</v>
      </c>
      <c r="B357" s="51" t="str">
        <f ca="1">'Landscape Trees '!C179</f>
        <v>Bur Oak</v>
      </c>
      <c r="C357" s="42" t="str">
        <f ca="1">'Landscape Trees '!D179</f>
        <v>#5</v>
      </c>
      <c r="D357" s="42" t="str">
        <f ca="1">'Landscape Trees '!E179</f>
        <v>0.75-1"</v>
      </c>
      <c r="E357" s="42" t="str">
        <f ca="1">'Landscape Trees '!F179</f>
        <v>4-7'</v>
      </c>
      <c r="F357" s="52">
        <f ca="1">'Landscape Trees '!G179</f>
        <v>27</v>
      </c>
      <c r="G357" s="68">
        <f ca="1">'Landscape Trees '!H179*0.9</f>
        <v>45</v>
      </c>
      <c r="H357" s="51" t="str">
        <f t="shared" ca="1" si="3"/>
        <v>Bur Oak #5-2021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'!A180</f>
        <v>Quercus macrocarpa</v>
      </c>
      <c r="B358" s="51" t="str">
        <f ca="1">'Landscape Trees '!C180</f>
        <v>Bur Oak</v>
      </c>
      <c r="C358" s="42" t="str">
        <f ca="1">'Landscape Trees '!D180</f>
        <v>#10</v>
      </c>
      <c r="D358" s="42" t="str">
        <f ca="1">'Landscape Trees '!E180</f>
        <v>1-1"</v>
      </c>
      <c r="E358" s="42" t="str">
        <f ca="1">'Landscape Trees '!F180</f>
        <v>6-8'</v>
      </c>
      <c r="F358" s="52">
        <f ca="1">'Landscape Trees '!G180</f>
        <v>1</v>
      </c>
      <c r="G358" s="68">
        <f ca="1">'Landscape Trees '!H180*0.9</f>
        <v>90</v>
      </c>
      <c r="H358" s="51" t="str">
        <f t="shared" ca="1" si="3"/>
        <v>Bur Oak #10-2021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'!A181</f>
        <v>Quercus macrocarpa</v>
      </c>
      <c r="B359" s="51" t="str">
        <f ca="1">'Landscape Trees '!C181</f>
        <v>Bur Oak</v>
      </c>
      <c r="C359" s="42" t="str">
        <f ca="1">'Landscape Trees '!D181</f>
        <v>#15</v>
      </c>
      <c r="D359" s="42" t="str">
        <f ca="1">'Landscape Trees '!E181</f>
        <v>1-1.25"</v>
      </c>
      <c r="E359" s="42" t="str">
        <f ca="1">'Landscape Trees '!F181</f>
        <v>10-12'</v>
      </c>
      <c r="F359" s="52">
        <f ca="1">'Landscape Trees '!G181</f>
        <v>3</v>
      </c>
      <c r="G359" s="68">
        <f ca="1">'Landscape Trees '!H181*0.9</f>
        <v>121.5</v>
      </c>
      <c r="H359" s="51" t="str">
        <f t="shared" ca="1" si="3"/>
        <v>Bur Oak #15-2021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'!A182</f>
        <v>Quercus palustris</v>
      </c>
      <c r="B360" s="51" t="str">
        <f ca="1">'Landscape Trees '!C182</f>
        <v>Pin Oak</v>
      </c>
      <c r="C360" s="42" t="str">
        <f ca="1">'Landscape Trees '!D182</f>
        <v>#5</v>
      </c>
      <c r="D360" s="42" t="str">
        <f ca="1">'Landscape Trees '!E182</f>
        <v>0.5-1.25"</v>
      </c>
      <c r="E360" s="42" t="str">
        <f ca="1">'Landscape Trees '!F182</f>
        <v>4-12'</v>
      </c>
      <c r="F360" s="52">
        <f ca="1">'Landscape Trees '!G182</f>
        <v>9</v>
      </c>
      <c r="G360" s="68">
        <f ca="1">'Landscape Trees '!H182*0.9</f>
        <v>45</v>
      </c>
      <c r="H360" s="51" t="str">
        <f t="shared" ca="1" si="3"/>
        <v>Pin Oak #5-2021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'!A183</f>
        <v>Quercus palustris</v>
      </c>
      <c r="B361" s="51" t="str">
        <f ca="1">'Landscape Trees '!C183</f>
        <v>Pin Oak</v>
      </c>
      <c r="C361" s="42" t="str">
        <f ca="1">'Landscape Trees '!D183</f>
        <v>#7</v>
      </c>
      <c r="D361" s="42" t="str">
        <f ca="1">'Landscape Trees '!E183</f>
        <v>1.25-1.5"</v>
      </c>
      <c r="E361" s="42" t="str">
        <f ca="1">'Landscape Trees '!F183</f>
        <v>9-12'</v>
      </c>
      <c r="F361" s="52">
        <f ca="1">'Landscape Trees '!G183</f>
        <v>1</v>
      </c>
      <c r="G361" s="68">
        <f ca="1">'Landscape Trees '!H183</f>
        <v>70</v>
      </c>
      <c r="H361" s="51" t="str">
        <f t="shared" ca="1" si="3"/>
        <v>Pin Oak #7-2021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'!A184</f>
        <v>Quercus palustris</v>
      </c>
      <c r="B362" s="51" t="str">
        <f ca="1">'Landscape Trees '!C184</f>
        <v>Pin Oak</v>
      </c>
      <c r="C362" s="42" t="str">
        <f ca="1">'Landscape Trees '!D184</f>
        <v>#10</v>
      </c>
      <c r="D362" s="42" t="str">
        <f ca="1">'Landscape Trees '!E184</f>
        <v>1-2"</v>
      </c>
      <c r="E362" s="42" t="str">
        <f ca="1">'Landscape Trees '!F184</f>
        <v>7-10'</v>
      </c>
      <c r="F362" s="52">
        <f ca="1">'Landscape Trees '!G184</f>
        <v>15</v>
      </c>
      <c r="G362" s="68">
        <f ca="1">'Landscape Trees '!H184</f>
        <v>100</v>
      </c>
      <c r="H362" s="51" t="str">
        <f t="shared" ca="1" si="3"/>
        <v>Pin Oak #10-2021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'!A185</f>
        <v>Quercus palustris</v>
      </c>
      <c r="B363" s="51" t="str">
        <f ca="1">'Landscape Trees '!C185</f>
        <v>Pin Oak</v>
      </c>
      <c r="C363" s="42" t="str">
        <f ca="1">'Landscape Trees '!D185</f>
        <v>#15</v>
      </c>
      <c r="D363" s="42" t="str">
        <f ca="1">'Landscape Trees '!E185</f>
        <v>1.5-1.75"</v>
      </c>
      <c r="E363" s="42" t="str">
        <f ca="1">'Landscape Trees '!F185</f>
        <v>11-15'</v>
      </c>
      <c r="F363" s="52">
        <f ca="1">'Landscape Trees '!G185</f>
        <v>1</v>
      </c>
      <c r="G363" s="68">
        <f ca="1">'Landscape Trees '!H185</f>
        <v>135</v>
      </c>
      <c r="H363" s="51" t="str">
        <f t="shared" ca="1" si="3"/>
        <v>Pin Oak #15-2021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'!A186</f>
        <v>Quercus phellos</v>
      </c>
      <c r="B364" s="51" t="str">
        <f ca="1">'Landscape Trees '!C186</f>
        <v>Willow Oak</v>
      </c>
      <c r="C364" s="42" t="str">
        <f ca="1">'Landscape Trees '!D186</f>
        <v>#7</v>
      </c>
      <c r="D364" s="42" t="str">
        <f ca="1">'Landscape Trees '!E186</f>
        <v>0.75-1.25"</v>
      </c>
      <c r="E364" s="42" t="str">
        <f ca="1">'Landscape Trees '!F186</f>
        <v>4-8'</v>
      </c>
      <c r="F364" s="52">
        <f ca="1">'Landscape Trees '!G186</f>
        <v>1</v>
      </c>
      <c r="G364" s="68">
        <f ca="1">'Landscape Trees '!H186</f>
        <v>70</v>
      </c>
      <c r="H364" s="51" t="str">
        <f t="shared" ca="1" si="3"/>
        <v>Willow Oak #7-2021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'!A187</f>
        <v>Quercus phellos</v>
      </c>
      <c r="B365" s="51" t="str">
        <f ca="1">'Landscape Trees '!C187</f>
        <v>Willow Oak</v>
      </c>
      <c r="C365" s="42" t="str">
        <f ca="1">'Landscape Trees '!D187</f>
        <v>#10</v>
      </c>
      <c r="D365" s="42" t="str">
        <f ca="1">'Landscape Trees '!E187</f>
        <v>0.5-0.75"</v>
      </c>
      <c r="E365" s="42" t="str">
        <f ca="1">'Landscape Trees '!F187</f>
        <v>4-5'</v>
      </c>
      <c r="F365" s="52">
        <f ca="1">'Landscape Trees '!G187</f>
        <v>26</v>
      </c>
      <c r="G365" s="68">
        <f ca="1">'Landscape Trees '!H187</f>
        <v>100</v>
      </c>
      <c r="H365" s="51" t="str">
        <f t="shared" ca="1" si="3"/>
        <v>Willow Oak #10-2021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'!A188</f>
        <v>Quercus rubra</v>
      </c>
      <c r="B366" s="51" t="str">
        <f ca="1">'Landscape Trees '!C188</f>
        <v>Red Oak</v>
      </c>
      <c r="C366" s="42" t="str">
        <f ca="1">'Landscape Trees '!D188</f>
        <v>#7</v>
      </c>
      <c r="D366" s="42" t="str">
        <f ca="1">'Landscape Trees '!E188</f>
        <v>0.75-1.5"</v>
      </c>
      <c r="E366" s="42" t="str">
        <f ca="1">'Landscape Trees '!F188</f>
        <v>3.5-11'</v>
      </c>
      <c r="F366" s="52">
        <f ca="1">'Landscape Trees '!G188</f>
        <v>10</v>
      </c>
      <c r="G366" s="68">
        <f ca="1">'Landscape Trees '!H188*0.9</f>
        <v>63</v>
      </c>
      <c r="H366" s="51" t="str">
        <f t="shared" ca="1" si="3"/>
        <v>Red Oak #7-2021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'!A189</f>
        <v>Quercus rubra</v>
      </c>
      <c r="B367" s="51" t="str">
        <f ca="1">'Landscape Trees '!C189</f>
        <v>Red Oak</v>
      </c>
      <c r="C367" s="42" t="str">
        <f ca="1">'Landscape Trees '!D189</f>
        <v>#10</v>
      </c>
      <c r="D367" s="42" t="str">
        <f ca="1">'Landscape Trees '!E189</f>
        <v>0.75-1.25"</v>
      </c>
      <c r="E367" s="42" t="str">
        <f ca="1">'Landscape Trees '!F189</f>
        <v>6-9'</v>
      </c>
      <c r="F367" s="52">
        <f ca="1">'Landscape Trees '!G189</f>
        <v>19</v>
      </c>
      <c r="G367" s="68">
        <f ca="1">'Landscape Trees '!H189*0.9</f>
        <v>90</v>
      </c>
      <c r="H367" s="51" t="str">
        <f t="shared" ca="1" si="3"/>
        <v>Red Oak #10-2021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'!A190</f>
        <v>Quercus rubra</v>
      </c>
      <c r="B368" s="51" t="str">
        <f ca="1">'Landscape Trees '!C190</f>
        <v>Red Oak</v>
      </c>
      <c r="C368" s="42" t="str">
        <f ca="1">'Landscape Trees '!D190</f>
        <v>#15</v>
      </c>
      <c r="D368" s="42" t="str">
        <f ca="1">'Landscape Trees '!E190</f>
        <v>1-2.25"</v>
      </c>
      <c r="E368" s="42" t="str">
        <f ca="1">'Landscape Trees '!F190</f>
        <v>9-14'</v>
      </c>
      <c r="F368" s="52">
        <f ca="1">'Landscape Trees '!G190</f>
        <v>10</v>
      </c>
      <c r="G368" s="68">
        <f ca="1">'Landscape Trees '!H190*0.9</f>
        <v>121.5</v>
      </c>
      <c r="H368" s="51" t="str">
        <f t="shared" ca="1" si="3"/>
        <v>Red Oak #15-2021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'!A191</f>
        <v>Quercus stellata</v>
      </c>
      <c r="B369" s="51" t="str">
        <f ca="1">'Landscape Trees '!C191</f>
        <v>Post Oak</v>
      </c>
      <c r="C369" s="42" t="str">
        <f ca="1">'Landscape Trees '!D191</f>
        <v>#5</v>
      </c>
      <c r="D369" s="42" t="str">
        <f ca="1">'Landscape Trees '!E191</f>
        <v>0.25-0.75"</v>
      </c>
      <c r="E369" s="42" t="str">
        <f ca="1">'Landscape Trees '!F191</f>
        <v>1.5-7'</v>
      </c>
      <c r="F369" s="52">
        <f ca="1">'Landscape Trees '!G191</f>
        <v>3</v>
      </c>
      <c r="G369" s="68">
        <f ca="1">'Landscape Trees '!H191*0.9</f>
        <v>49.5</v>
      </c>
      <c r="H369" s="51" t="str">
        <f t="shared" ca="1" si="3"/>
        <v>Post Oak #5-2021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'!A192</f>
        <v>Quercus x warei 'Regal Prince'</v>
      </c>
      <c r="B370" s="51" t="str">
        <f ca="1">'Landscape Trees '!C192</f>
        <v>Regal Prince Oak</v>
      </c>
      <c r="C370" s="42" t="str">
        <f ca="1">'Landscape Trees '!D192</f>
        <v>#15</v>
      </c>
      <c r="D370" s="42" t="str">
        <f ca="1">'Landscape Trees '!E192</f>
        <v>1-1.75"</v>
      </c>
      <c r="E370" s="42" t="str">
        <f ca="1">'Landscape Trees '!F192</f>
        <v>8-14'</v>
      </c>
      <c r="F370" s="52">
        <f ca="1">'Landscape Trees '!G192</f>
        <v>20</v>
      </c>
      <c r="G370" s="68">
        <f ca="1">'Landscape Trees '!H192*0.9</f>
        <v>121.5</v>
      </c>
      <c r="H370" s="51" t="str">
        <f t="shared" ca="1" si="3"/>
        <v>Regal Prince Oak #15-2021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'!A193</f>
        <v>Quercus x warei 'Regal Prince'</v>
      </c>
      <c r="B371" s="51" t="str">
        <f ca="1">'Landscape Trees '!C193</f>
        <v>Regal Prince Oak</v>
      </c>
      <c r="C371" s="42" t="str">
        <f ca="1">'Landscape Trees '!D193</f>
        <v>#25</v>
      </c>
      <c r="D371" s="42" t="str">
        <f ca="1">'Landscape Trees '!E193</f>
        <v>1.25-1.25"</v>
      </c>
      <c r="E371" s="42" t="str">
        <f ca="1">'Landscape Trees '!F193</f>
        <v>8-9'</v>
      </c>
      <c r="F371" s="52">
        <f ca="1">'Landscape Trees '!G193</f>
        <v>2</v>
      </c>
      <c r="G371" s="68">
        <f ca="1">'Landscape Trees '!H193*0.9</f>
        <v>135</v>
      </c>
      <c r="H371" s="51" t="str">
        <f t="shared" ca="1" si="3"/>
        <v>Regal Prince Oak #25-2021</v>
      </c>
      <c r="I371" s="54"/>
      <c r="J371" s="55">
        <f t="shared" ca="1" si="2"/>
        <v>0</v>
      </c>
      <c r="K371" s="55"/>
    </row>
    <row r="372" spans="1:11" ht="12.75" hidden="1" x14ac:dyDescent="0.2">
      <c r="A372" s="51" t="str">
        <f ca="1">'Landscape Trees '!A194</f>
        <v>Rhus glabra</v>
      </c>
      <c r="B372" s="51" t="str">
        <f ca="1">'Landscape Trees '!C194</f>
        <v>Smooth Sumac</v>
      </c>
      <c r="C372" s="42" t="str">
        <f ca="1">'Landscape Trees '!D194</f>
        <v>#5</v>
      </c>
      <c r="D372" s="42" t="str">
        <f ca="1">'Landscape Trees '!E194</f>
        <v>0.75-1.25"</v>
      </c>
      <c r="E372" s="42" t="str">
        <f ca="1">'Landscape Trees '!F194</f>
        <v>5-9'</v>
      </c>
      <c r="F372" s="52">
        <f ca="1">'Landscape Trees '!G194</f>
        <v>91</v>
      </c>
      <c r="G372" s="53">
        <f ca="1">'Landscape Trees '!H194*0.9</f>
        <v>45</v>
      </c>
      <c r="H372" s="51" t="str">
        <f t="shared" ca="1" si="3"/>
        <v>Smooth Sumac #5-2021</v>
      </c>
      <c r="I372" s="69"/>
      <c r="J372" s="55">
        <f t="shared" ca="1" si="2"/>
        <v>0</v>
      </c>
      <c r="K372" s="55"/>
    </row>
    <row r="373" spans="1:11" ht="12.75" hidden="1" x14ac:dyDescent="0.2">
      <c r="A373" s="51" t="str">
        <f ca="1">'Landscape Trees '!A195</f>
        <v>Rhus typhina</v>
      </c>
      <c r="B373" s="51" t="str">
        <f ca="1">'Landscape Trees '!C195</f>
        <v>Staghorn Sumac</v>
      </c>
      <c r="C373" s="42" t="str">
        <f ca="1">'Landscape Trees '!D195</f>
        <v>#5</v>
      </c>
      <c r="D373" s="42" t="str">
        <f ca="1">'Landscape Trees '!E195</f>
        <v>0.25-1.25"</v>
      </c>
      <c r="E373" s="42" t="str">
        <f ca="1">'Landscape Trees '!F195</f>
        <v>3-7'</v>
      </c>
      <c r="F373" s="52">
        <f ca="1">'Landscape Trees '!G195</f>
        <v>7</v>
      </c>
      <c r="G373" s="53">
        <f ca="1">'Landscape Trees '!H195*0.9</f>
        <v>45</v>
      </c>
      <c r="H373" s="51" t="str">
        <f t="shared" ca="1" si="3"/>
        <v>Staghorn Sumac #5-2021</v>
      </c>
      <c r="I373" s="69"/>
      <c r="J373" s="55">
        <f t="shared" ca="1" si="2"/>
        <v>0</v>
      </c>
      <c r="K373" s="55"/>
    </row>
    <row r="374" spans="1:11" ht="12.75" x14ac:dyDescent="0.2">
      <c r="A374" s="51" t="str">
        <f ca="1">'Landscape Trees '!A196</f>
        <v>Robinia 'Purple Robe'</v>
      </c>
      <c r="B374" s="51" t="str">
        <f ca="1">'Landscape Trees '!C196</f>
        <v>Purple Robe Black Locust</v>
      </c>
      <c r="C374" s="42" t="str">
        <f ca="1">'Landscape Trees '!D196</f>
        <v>#15</v>
      </c>
      <c r="D374" s="42" t="str">
        <f ca="1">'Landscape Trees '!E196</f>
        <v>1.25-1.5"</v>
      </c>
      <c r="E374" s="42" t="str">
        <f ca="1">'Landscape Trees '!F196</f>
        <v>10-12'</v>
      </c>
      <c r="F374" s="52">
        <f ca="1">'Landscape Trees '!G196</f>
        <v>2</v>
      </c>
      <c r="G374" s="68">
        <f ca="1">'Landscape Trees '!H196*0.9</f>
        <v>121.5</v>
      </c>
      <c r="H374" s="51" t="str">
        <f t="shared" ca="1" si="3"/>
        <v>Purple Robe Black Locust #15-2021</v>
      </c>
      <c r="I374" s="54"/>
      <c r="J374" s="55">
        <f t="shared" ca="1" si="2"/>
        <v>0</v>
      </c>
      <c r="K374" s="55"/>
    </row>
    <row r="375" spans="1:11" ht="12.75" x14ac:dyDescent="0.2">
      <c r="A375" s="51" t="str">
        <f ca="1">'Landscape Trees '!A197</f>
        <v>Salix alba "Tristis"</v>
      </c>
      <c r="B375" s="51" t="str">
        <f ca="1">'Landscape Trees '!C197</f>
        <v>Niobe Golden Willow</v>
      </c>
      <c r="C375" s="42" t="str">
        <f ca="1">'Landscape Trees '!D197</f>
        <v>#15</v>
      </c>
      <c r="D375" s="42" t="str">
        <f ca="1">'Landscape Trees '!E197</f>
        <v>1.25-2.25"</v>
      </c>
      <c r="E375" s="42" t="str">
        <f ca="1">'Landscape Trees '!F197</f>
        <v>10-12'</v>
      </c>
      <c r="F375" s="52">
        <f ca="1">'Landscape Trees '!G197</f>
        <v>21</v>
      </c>
      <c r="G375" s="68">
        <f ca="1">'Landscape Trees '!H197*0.9</f>
        <v>121.5</v>
      </c>
      <c r="H375" s="51" t="str">
        <f t="shared" ca="1" si="3"/>
        <v>Niobe Golden Willow #15-2021</v>
      </c>
      <c r="I375" s="54"/>
      <c r="J375" s="55">
        <f t="shared" ca="1" si="2"/>
        <v>0</v>
      </c>
      <c r="K375" s="55"/>
    </row>
    <row r="376" spans="1:11" ht="12.75" x14ac:dyDescent="0.2">
      <c r="A376" s="51" t="str">
        <f ca="1">'Landscape Trees '!A198</f>
        <v>Salix babylonica</v>
      </c>
      <c r="B376" s="51" t="str">
        <f ca="1">'Landscape Trees '!C198</f>
        <v>Weeping Willow</v>
      </c>
      <c r="C376" s="42" t="str">
        <f ca="1">'Landscape Trees '!D198</f>
        <v>#5</v>
      </c>
      <c r="D376" s="42" t="str">
        <f ca="1">'Landscape Trees '!E198</f>
        <v>1.25-1.75"</v>
      </c>
      <c r="E376" s="42" t="str">
        <f ca="1">'Landscape Trees '!F198</f>
        <v>10-16'</v>
      </c>
      <c r="F376" s="52">
        <f ca="1">'Landscape Trees '!G198</f>
        <v>8</v>
      </c>
      <c r="G376" s="68">
        <f ca="1">'Landscape Trees '!H198*0.9</f>
        <v>45</v>
      </c>
      <c r="H376" s="51" t="str">
        <f t="shared" ca="1" si="3"/>
        <v>Weeping Willow #5-2021</v>
      </c>
      <c r="I376" s="54"/>
      <c r="J376" s="55">
        <f t="shared" ca="1" si="2"/>
        <v>0</v>
      </c>
      <c r="K376" s="55"/>
    </row>
    <row r="377" spans="1:11" ht="12.75" x14ac:dyDescent="0.2">
      <c r="A377" s="51" t="str">
        <f ca="1">'Landscape Trees '!A199</f>
        <v>Salix babylonica</v>
      </c>
      <c r="B377" s="51" t="str">
        <f ca="1">'Landscape Trees '!C199</f>
        <v>Weeping Willow</v>
      </c>
      <c r="C377" s="42" t="str">
        <f ca="1">'Landscape Trees '!D199</f>
        <v>#7</v>
      </c>
      <c r="D377" s="42" t="str">
        <f ca="1">'Landscape Trees '!E199</f>
        <v>1.25-1.75"</v>
      </c>
      <c r="E377" s="42" t="str">
        <f ca="1">'Landscape Trees '!F199</f>
        <v>10-16'</v>
      </c>
      <c r="F377" s="52">
        <f ca="1">'Landscape Trees '!G199</f>
        <v>31</v>
      </c>
      <c r="G377" s="68">
        <f ca="1">'Landscape Trees '!H199*0.9</f>
        <v>54</v>
      </c>
      <c r="H377" s="51" t="str">
        <f t="shared" ca="1" si="3"/>
        <v>Weeping Willow #7-2021</v>
      </c>
      <c r="I377" s="54"/>
      <c r="J377" s="55">
        <f t="shared" ca="1" si="2"/>
        <v>0</v>
      </c>
      <c r="K377" s="55"/>
    </row>
    <row r="378" spans="1:11" ht="12.75" x14ac:dyDescent="0.2">
      <c r="A378" s="51" t="str">
        <f ca="1">'Landscape Trees '!A200</f>
        <v>Salix babylonica</v>
      </c>
      <c r="B378" s="51" t="str">
        <f ca="1">'Landscape Trees '!C200</f>
        <v>Weeping Willow</v>
      </c>
      <c r="C378" s="42" t="str">
        <f ca="1">'Landscape Trees '!D200</f>
        <v>#15</v>
      </c>
      <c r="D378" s="42" t="str">
        <f ca="1">'Landscape Trees '!E200</f>
        <v>0.75-3"</v>
      </c>
      <c r="E378" s="42" t="str">
        <f ca="1">'Landscape Trees '!F200</f>
        <v>10-13'</v>
      </c>
      <c r="F378" s="52">
        <f ca="1">'Landscape Trees '!G200</f>
        <v>1</v>
      </c>
      <c r="G378" s="68">
        <f ca="1">'Landscape Trees '!H200*0.9</f>
        <v>121.5</v>
      </c>
      <c r="H378" s="51" t="str">
        <f t="shared" ca="1" si="3"/>
        <v>Weeping Willow #15-2021</v>
      </c>
      <c r="I378" s="54"/>
      <c r="J378" s="55">
        <f t="shared" ca="1" si="2"/>
        <v>0</v>
      </c>
      <c r="K378" s="55"/>
    </row>
    <row r="379" spans="1:11" ht="12.75" x14ac:dyDescent="0.2">
      <c r="A379" s="51" t="str">
        <f ca="1">'Landscape Trees '!A201</f>
        <v>Salix integra 'Hakuro Nishiki'</v>
      </c>
      <c r="B379" s="51" t="str">
        <f ca="1">'Landscape Trees '!C201</f>
        <v>Nishiki Dappled Willow</v>
      </c>
      <c r="C379" s="42" t="str">
        <f ca="1">'Landscape Trees '!D201</f>
        <v>#7</v>
      </c>
      <c r="D379" s="42" t="str">
        <f ca="1">'Landscape Trees '!E201</f>
        <v>0.5-1"</v>
      </c>
      <c r="E379" s="42" t="str">
        <f ca="1">'Landscape Trees '!F201</f>
        <v>3-6'</v>
      </c>
      <c r="F379" s="52">
        <f ca="1">'Landscape Trees '!G201</f>
        <v>9</v>
      </c>
      <c r="G379" s="68">
        <f ca="1">'Landscape Trees '!H201*0.9</f>
        <v>72</v>
      </c>
      <c r="H379" s="51" t="str">
        <f t="shared" ca="1" si="3"/>
        <v>Nishiki Dappled Willow #7-2021</v>
      </c>
      <c r="I379" s="54"/>
      <c r="J379" s="55">
        <f t="shared" ca="1" si="2"/>
        <v>0</v>
      </c>
      <c r="K379" s="55"/>
    </row>
    <row r="380" spans="1:11" ht="12.75" x14ac:dyDescent="0.2">
      <c r="A380" s="51" t="str">
        <f ca="1">'Landscape Trees '!A202</f>
        <v>Salix pentaphyllum</v>
      </c>
      <c r="B380" s="51" t="str">
        <f ca="1">'Landscape Trees '!C202</f>
        <v>Prairie Cascade Willow</v>
      </c>
      <c r="C380" s="42" t="str">
        <f ca="1">'Landscape Trees '!D202</f>
        <v>#15</v>
      </c>
      <c r="D380" s="42" t="str">
        <f ca="1">'Landscape Trees '!E202</f>
        <v>1.75-2.5"</v>
      </c>
      <c r="E380" s="42" t="str">
        <f ca="1">'Landscape Trees '!F202</f>
        <v>10-16'</v>
      </c>
      <c r="F380" s="52">
        <f ca="1">'Landscape Trees '!G202</f>
        <v>14</v>
      </c>
      <c r="G380" s="68">
        <f ca="1">'Landscape Trees '!H202*0.9</f>
        <v>121.5</v>
      </c>
      <c r="H380" s="51" t="str">
        <f t="shared" ca="1" si="3"/>
        <v>Prairie Cascade Willow #15-2021</v>
      </c>
      <c r="I380" s="54"/>
      <c r="J380" s="55">
        <f t="shared" ca="1" si="2"/>
        <v>0</v>
      </c>
      <c r="K380" s="55"/>
    </row>
    <row r="381" spans="1:11" ht="12.75" x14ac:dyDescent="0.2">
      <c r="A381" s="51" t="str">
        <f ca="1">'Landscape Trees '!A203</f>
        <v>Salix pentaphyllum</v>
      </c>
      <c r="B381" s="51" t="str">
        <f ca="1">'Landscape Trees '!C203</f>
        <v>Prairie Cascade Willow</v>
      </c>
      <c r="C381" s="42" t="str">
        <f ca="1">'Landscape Trees '!D203</f>
        <v>#25</v>
      </c>
      <c r="D381" s="42" t="str">
        <f ca="1">'Landscape Trees '!E203</f>
        <v>2.25-3"</v>
      </c>
      <c r="E381" s="42" t="str">
        <f ca="1">'Landscape Trees '!F203</f>
        <v>14-16'</v>
      </c>
      <c r="F381" s="52">
        <f ca="1">'Landscape Trees '!G203</f>
        <v>3</v>
      </c>
      <c r="G381" s="68">
        <f ca="1">'Landscape Trees '!H203*0.9</f>
        <v>135</v>
      </c>
      <c r="H381" s="51" t="str">
        <f t="shared" ca="1" si="3"/>
        <v>Prairie Cascade Willow #25-2021</v>
      </c>
      <c r="I381" s="54"/>
      <c r="J381" s="55">
        <f t="shared" ca="1" si="2"/>
        <v>0</v>
      </c>
      <c r="K381" s="55"/>
    </row>
    <row r="382" spans="1:11" ht="12.75" x14ac:dyDescent="0.2">
      <c r="A382" s="51" t="str">
        <f ca="1">'Landscape Trees '!A204</f>
        <v>Sambucus canadensis</v>
      </c>
      <c r="B382" s="51" t="str">
        <f ca="1">'Landscape Trees '!C204</f>
        <v>Elderberry</v>
      </c>
      <c r="C382" s="42" t="str">
        <f ca="1">'Landscape Trees '!D204</f>
        <v>#5</v>
      </c>
      <c r="D382" s="42" t="str">
        <f ca="1">'Landscape Trees '!E204</f>
        <v>Multi</v>
      </c>
      <c r="E382" s="42" t="str">
        <f ca="1">'Landscape Trees '!F204</f>
        <v>1-5'</v>
      </c>
      <c r="F382" s="52">
        <f ca="1">'Landscape Trees '!G204</f>
        <v>163</v>
      </c>
      <c r="G382" s="68">
        <f ca="1">'Landscape Trees '!H204*0.9</f>
        <v>31.5</v>
      </c>
      <c r="H382" s="51" t="str">
        <f t="shared" ca="1" si="3"/>
        <v>Elderberry #5-2021</v>
      </c>
      <c r="I382" s="54"/>
      <c r="J382" s="55">
        <f t="shared" ca="1" si="2"/>
        <v>0</v>
      </c>
      <c r="K382" s="55"/>
    </row>
    <row r="383" spans="1:11" ht="12.75" x14ac:dyDescent="0.2">
      <c r="A383" s="51" t="str">
        <f ca="1">'Landscape Trees '!A205</f>
        <v>Sambucus canadensis 'Pocahontas'</v>
      </c>
      <c r="B383" s="51" t="str">
        <f ca="1">'Landscape Trees '!C205</f>
        <v>Elderberry - Pocahontas</v>
      </c>
      <c r="C383" s="42" t="str">
        <f ca="1">'Landscape Trees '!D205</f>
        <v>#5</v>
      </c>
      <c r="D383" s="42" t="str">
        <f ca="1">'Landscape Trees '!E205</f>
        <v>Multi</v>
      </c>
      <c r="E383" s="42" t="str">
        <f ca="1">'Landscape Trees '!F205</f>
        <v>1.5-4'</v>
      </c>
      <c r="F383" s="52">
        <f ca="1">'Landscape Trees '!G205</f>
        <v>27</v>
      </c>
      <c r="G383" s="68">
        <f ca="1">'Landscape Trees '!H205*0.9</f>
        <v>31.5</v>
      </c>
      <c r="H383" s="51" t="str">
        <f t="shared" ca="1" si="3"/>
        <v>Elderberry - Pocahontas #5-2021</v>
      </c>
      <c r="I383" s="54"/>
      <c r="J383" s="55">
        <f t="shared" ca="1" si="2"/>
        <v>0</v>
      </c>
      <c r="K383" s="55"/>
    </row>
    <row r="384" spans="1:11" ht="12.75" x14ac:dyDescent="0.2">
      <c r="A384" s="51" t="str">
        <f ca="1">'Landscape Trees '!A206</f>
        <v>Sambucus canadensis 'York'</v>
      </c>
      <c r="B384" s="51" t="str">
        <f ca="1">'Landscape Trees '!C206</f>
        <v>Elderberry - York</v>
      </c>
      <c r="C384" s="42" t="str">
        <f ca="1">'Landscape Trees '!D206</f>
        <v>#5</v>
      </c>
      <c r="D384" s="42" t="str">
        <f ca="1">'Landscape Trees '!E206</f>
        <v>Multi</v>
      </c>
      <c r="E384" s="42" t="str">
        <f ca="1">'Landscape Trees '!F206</f>
        <v>3-5'</v>
      </c>
      <c r="F384" s="52">
        <f ca="1">'Landscape Trees '!G206</f>
        <v>141</v>
      </c>
      <c r="G384" s="68">
        <f ca="1">'Landscape Trees '!H206*0.9</f>
        <v>31.5</v>
      </c>
      <c r="H384" s="51" t="str">
        <f t="shared" ca="1" si="3"/>
        <v>Elderberry - York #5-2021</v>
      </c>
      <c r="I384" s="54"/>
      <c r="J384" s="55">
        <f t="shared" ca="1" si="2"/>
        <v>0</v>
      </c>
      <c r="K384" s="55"/>
    </row>
    <row r="385" spans="1:11" ht="12.75" x14ac:dyDescent="0.2">
      <c r="A385" s="51" t="str">
        <f ca="1">'Landscape Trees '!A207</f>
        <v>Sassafras albidum</v>
      </c>
      <c r="B385" s="51" t="str">
        <f ca="1">'Landscape Trees '!C207</f>
        <v>Sassafras</v>
      </c>
      <c r="C385" s="42" t="str">
        <f ca="1">'Landscape Trees '!D207</f>
        <v>#7</v>
      </c>
      <c r="D385" s="42" t="str">
        <f ca="1">'Landscape Trees '!E207</f>
        <v>0.5-0.75"</v>
      </c>
      <c r="E385" s="42" t="str">
        <f ca="1">'Landscape Trees '!F207</f>
        <v>3-6'</v>
      </c>
      <c r="F385" s="52">
        <f ca="1">'Landscape Trees '!G207</f>
        <v>12</v>
      </c>
      <c r="G385" s="68">
        <f ca="1">'Landscape Trees '!H207*0.9</f>
        <v>90</v>
      </c>
      <c r="H385" s="51" t="str">
        <f t="shared" ca="1" si="3"/>
        <v>Sassafras #7-2021</v>
      </c>
      <c r="I385" s="54"/>
      <c r="J385" s="55">
        <f t="shared" ca="1" si="2"/>
        <v>0</v>
      </c>
      <c r="K385" s="55"/>
    </row>
    <row r="386" spans="1:11" ht="12.75" x14ac:dyDescent="0.2">
      <c r="A386" s="51" t="str">
        <f ca="1">'Landscape Trees '!A208</f>
        <v>Stewartia pseudocamellia</v>
      </c>
      <c r="B386" s="51" t="str">
        <f ca="1">'Landscape Trees '!C208</f>
        <v>Japanese Stewartia</v>
      </c>
      <c r="C386" s="42" t="str">
        <f ca="1">'Landscape Trees '!D208</f>
        <v>#5</v>
      </c>
      <c r="D386" s="42" t="str">
        <f ca="1">'Landscape Trees '!E208</f>
        <v>0.5-1.25"</v>
      </c>
      <c r="E386" s="42" t="str">
        <f ca="1">'Landscape Trees '!F208</f>
        <v>5-8'</v>
      </c>
      <c r="F386" s="52">
        <f ca="1">'Landscape Trees '!G208</f>
        <v>22</v>
      </c>
      <c r="G386" s="68">
        <f ca="1">'Landscape Trees '!H208*0.9</f>
        <v>63</v>
      </c>
      <c r="H386" s="51" t="str">
        <f t="shared" ca="1" si="3"/>
        <v>Japanese Stewartia #5-2021</v>
      </c>
      <c r="I386" s="54"/>
      <c r="J386" s="55">
        <f t="shared" ca="1" si="2"/>
        <v>0</v>
      </c>
      <c r="K386" s="55"/>
    </row>
    <row r="387" spans="1:11" ht="12.75" x14ac:dyDescent="0.2">
      <c r="A387" s="51" t="str">
        <f ca="1">'Landscape Trees '!A209</f>
        <v>Syringa vulgaris</v>
      </c>
      <c r="B387" s="51" t="str">
        <f ca="1">'Landscape Trees '!C209</f>
        <v>Purple Lilac</v>
      </c>
      <c r="C387" s="42" t="str">
        <f ca="1">'Landscape Trees '!D209</f>
        <v>#5</v>
      </c>
      <c r="D387" s="42" t="str">
        <f ca="1">'Landscape Trees '!E209</f>
        <v>0.25-1"</v>
      </c>
      <c r="E387" s="42" t="str">
        <f ca="1">'Landscape Trees '!F209</f>
        <v>1-5'</v>
      </c>
      <c r="F387" s="52">
        <f ca="1">'Landscape Trees '!G209</f>
        <v>9</v>
      </c>
      <c r="G387" s="68">
        <f ca="1">'Landscape Trees '!H209*0.9</f>
        <v>33.300000000000004</v>
      </c>
      <c r="H387" s="51" t="str">
        <f t="shared" ca="1" si="3"/>
        <v>Purple Lilac #5-2021</v>
      </c>
      <c r="I387" s="54"/>
      <c r="J387" s="55">
        <f t="shared" ca="1" si="2"/>
        <v>0</v>
      </c>
      <c r="K387" s="55"/>
    </row>
    <row r="388" spans="1:11" ht="12.75" x14ac:dyDescent="0.2">
      <c r="A388" s="51" t="str">
        <f ca="1">'Landscape Trees '!A210</f>
        <v>Taxodium distichum</v>
      </c>
      <c r="B388" s="51" t="str">
        <f ca="1">'Landscape Trees '!C210</f>
        <v>Bald Cypress</v>
      </c>
      <c r="C388" s="42" t="str">
        <f ca="1">'Landscape Trees '!D210</f>
        <v>#5</v>
      </c>
      <c r="D388" s="42" t="str">
        <f ca="1">'Landscape Trees '!E210</f>
        <v>0.75-1"</v>
      </c>
      <c r="E388" s="42" t="str">
        <f ca="1">'Landscape Trees '!F210</f>
        <v>4-6'</v>
      </c>
      <c r="F388" s="52">
        <f ca="1">'Landscape Trees '!G210</f>
        <v>4</v>
      </c>
      <c r="G388" s="68">
        <f ca="1">'Landscape Trees '!H210*0.9</f>
        <v>45</v>
      </c>
      <c r="H388" s="51" t="str">
        <f t="shared" ca="1" si="3"/>
        <v>Bald Cypress #5-2021</v>
      </c>
      <c r="I388" s="54"/>
      <c r="J388" s="55">
        <f t="shared" ca="1" si="2"/>
        <v>0</v>
      </c>
      <c r="K388" s="55"/>
    </row>
    <row r="389" spans="1:11" ht="12.75" x14ac:dyDescent="0.2">
      <c r="A389" s="51" t="str">
        <f ca="1">'Landscape Trees '!A211</f>
        <v>Taxodium distichum</v>
      </c>
      <c r="B389" s="51" t="str">
        <f ca="1">'Landscape Trees '!C211</f>
        <v>Bald Cypress</v>
      </c>
      <c r="C389" s="42" t="str">
        <f ca="1">'Landscape Trees '!D211</f>
        <v>#15</v>
      </c>
      <c r="D389" s="42" t="str">
        <f ca="1">'Landscape Trees '!E211</f>
        <v>1.5-1.5"</v>
      </c>
      <c r="E389" s="42" t="str">
        <f ca="1">'Landscape Trees '!F211</f>
        <v>7-7'</v>
      </c>
      <c r="F389" s="52">
        <f ca="1">'Landscape Trees '!G211</f>
        <v>1</v>
      </c>
      <c r="G389" s="68">
        <f ca="1">'Landscape Trees '!H211*0.9</f>
        <v>121.5</v>
      </c>
      <c r="H389" s="51" t="str">
        <f t="shared" ca="1" si="3"/>
        <v>Bald Cypress #15-2021</v>
      </c>
      <c r="I389" s="54"/>
      <c r="J389" s="55">
        <f t="shared" ca="1" si="2"/>
        <v>0</v>
      </c>
      <c r="K389" s="55"/>
    </row>
    <row r="390" spans="1:11" ht="12.75" x14ac:dyDescent="0.2">
      <c r="A390" s="51" t="str">
        <f ca="1">'Landscape Trees '!A212</f>
        <v>Taxodium distichum 'Lindsey's Skyward'</v>
      </c>
      <c r="B390" s="51" t="str">
        <f ca="1">'Landscape Trees '!C212</f>
        <v>Lindsey's Skyward Bald Cypress</v>
      </c>
      <c r="C390" s="42" t="str">
        <f ca="1">'Landscape Trees '!D212</f>
        <v>#10</v>
      </c>
      <c r="D390" s="42" t="str">
        <f ca="1">'Landscape Trees '!E212</f>
        <v>0.75-1.25"</v>
      </c>
      <c r="E390" s="42" t="str">
        <f ca="1">'Landscape Trees '!F212</f>
        <v>5-8'</v>
      </c>
      <c r="F390" s="52">
        <f ca="1">'Landscape Trees '!G212</f>
        <v>17</v>
      </c>
      <c r="G390" s="68">
        <f ca="1">'Landscape Trees '!H212*0.9</f>
        <v>90</v>
      </c>
      <c r="H390" s="51" t="str">
        <f t="shared" ca="1" si="3"/>
        <v>Lindsey's Skyward Bald Cypress #10-2021</v>
      </c>
      <c r="I390" s="54"/>
      <c r="J390" s="55">
        <f t="shared" ca="1" si="2"/>
        <v>0</v>
      </c>
      <c r="K390" s="55"/>
    </row>
    <row r="391" spans="1:11" ht="12.75" x14ac:dyDescent="0.2">
      <c r="A391" s="51" t="str">
        <f ca="1">'Landscape Trees '!A213</f>
        <v>Taxodium distichum 'Shawnee Brave'</v>
      </c>
      <c r="B391" s="51" t="str">
        <f ca="1">'Landscape Trees '!C213</f>
        <v>Shawnee Brave Bald Cypress</v>
      </c>
      <c r="C391" s="42" t="str">
        <f ca="1">'Landscape Trees '!D213</f>
        <v>#15</v>
      </c>
      <c r="D391" s="42" t="str">
        <f ca="1">'Landscape Trees '!E213</f>
        <v>0.75-1"</v>
      </c>
      <c r="E391" s="42" t="str">
        <f ca="1">'Landscape Trees '!F213</f>
        <v>5-6'</v>
      </c>
      <c r="F391" s="52">
        <f ca="1">'Landscape Trees '!G213</f>
        <v>21</v>
      </c>
      <c r="G391" s="68">
        <f ca="1">'Landscape Trees '!H213*0.9</f>
        <v>121.5</v>
      </c>
      <c r="H391" s="51" t="str">
        <f t="shared" ca="1" si="3"/>
        <v>Shawnee Brave Bald Cypress #15-2021</v>
      </c>
      <c r="I391" s="54"/>
      <c r="J391" s="55">
        <f t="shared" ca="1" si="2"/>
        <v>0</v>
      </c>
      <c r="K391" s="55"/>
    </row>
    <row r="392" spans="1:11" ht="12.75" x14ac:dyDescent="0.2">
      <c r="A392" s="51" t="str">
        <f ca="1">'Landscape Trees '!A214</f>
        <v>Taxus x media</v>
      </c>
      <c r="B392" s="51" t="str">
        <f ca="1">'Landscape Trees '!C214</f>
        <v>Hicksii Yew</v>
      </c>
      <c r="C392" s="42" t="str">
        <f ca="1">'Landscape Trees '!D214</f>
        <v>#3</v>
      </c>
      <c r="D392" s="42" t="str">
        <f ca="1">'Landscape Trees '!E214</f>
        <v>Multi</v>
      </c>
      <c r="E392" s="42" t="str">
        <f ca="1">'Landscape Trees '!F214</f>
        <v>1.5-2'</v>
      </c>
      <c r="F392" s="52">
        <f ca="1">'Landscape Trees '!G214</f>
        <v>3</v>
      </c>
      <c r="G392" s="68">
        <f ca="1">'Landscape Trees '!H214*0.9</f>
        <v>31.5</v>
      </c>
      <c r="H392" s="51" t="str">
        <f t="shared" ca="1" si="3"/>
        <v>Hicksii Yew #3-2021</v>
      </c>
      <c r="I392" s="54"/>
      <c r="J392" s="55">
        <f t="shared" ca="1" si="2"/>
        <v>0</v>
      </c>
      <c r="K392" s="55"/>
    </row>
    <row r="393" spans="1:11" ht="12.75" x14ac:dyDescent="0.2">
      <c r="A393" s="51" t="str">
        <f ca="1">'Landscape Trees '!A215</f>
        <v>Thuja plicata x standishii 'Green Giant'</v>
      </c>
      <c r="B393" s="51" t="str">
        <f ca="1">'Landscape Trees '!C215</f>
        <v>Green Giant Arborvitae</v>
      </c>
      <c r="C393" s="42" t="str">
        <f ca="1">'Landscape Trees '!D215</f>
        <v>#5</v>
      </c>
      <c r="D393" s="42" t="str">
        <f ca="1">'Landscape Trees '!E215</f>
        <v>0.25-0.75"</v>
      </c>
      <c r="E393" s="42" t="str">
        <f ca="1">'Landscape Trees '!F215</f>
        <v>2-4'</v>
      </c>
      <c r="F393" s="52">
        <f ca="1">'Landscape Trees '!G215</f>
        <v>112</v>
      </c>
      <c r="G393" s="68">
        <f ca="1">'Landscape Trees '!H215*0.9</f>
        <v>45</v>
      </c>
      <c r="H393" s="51" t="str">
        <f t="shared" ca="1" si="3"/>
        <v>Green Giant Arborvitae #5-2021</v>
      </c>
      <c r="I393" s="54"/>
      <c r="J393" s="55">
        <f t="shared" ca="1" si="2"/>
        <v>0</v>
      </c>
      <c r="K393" s="55"/>
    </row>
    <row r="394" spans="1:11" ht="12.75" x14ac:dyDescent="0.2">
      <c r="A394" s="51" t="str">
        <f ca="1">'Landscape Trees '!A216</f>
        <v>Thuja plicata x standishii 'Green Giant'</v>
      </c>
      <c r="B394" s="51" t="str">
        <f ca="1">'Landscape Trees '!C216</f>
        <v>Green Giant Arborvitae</v>
      </c>
      <c r="C394" s="42" t="str">
        <f ca="1">'Landscape Trees '!D216</f>
        <v>#10</v>
      </c>
      <c r="D394" s="42" t="str">
        <f ca="1">'Landscape Trees '!E216</f>
        <v>1.25-1.75"</v>
      </c>
      <c r="E394" s="42" t="str">
        <f ca="1">'Landscape Trees '!F216</f>
        <v>6-7'</v>
      </c>
      <c r="F394" s="52">
        <f ca="1">'Landscape Trees '!G216</f>
        <v>68</v>
      </c>
      <c r="G394" s="68">
        <f ca="1">'Landscape Trees '!H216*0.9</f>
        <v>121.5</v>
      </c>
      <c r="H394" s="51" t="str">
        <f t="shared" ca="1" si="3"/>
        <v>Green Giant Arborvitae #10-2021</v>
      </c>
      <c r="I394" s="54"/>
      <c r="J394" s="55">
        <f t="shared" ca="1" si="2"/>
        <v>0</v>
      </c>
      <c r="K394" s="55"/>
    </row>
    <row r="395" spans="1:11" ht="12.75" x14ac:dyDescent="0.2">
      <c r="A395" s="51" t="str">
        <f ca="1">'Landscape Trees '!A217</f>
        <v>Tilia americana</v>
      </c>
      <c r="B395" s="51" t="str">
        <f ca="1">'Landscape Trees '!C217</f>
        <v>American Linden</v>
      </c>
      <c r="C395" s="42" t="str">
        <f ca="1">'Landscape Trees '!D217</f>
        <v>#5</v>
      </c>
      <c r="D395" s="42" t="str">
        <f ca="1">'Landscape Trees '!E217</f>
        <v>0.25-1.25"</v>
      </c>
      <c r="E395" s="42" t="str">
        <f ca="1">'Landscape Trees '!F217</f>
        <v>3-8'</v>
      </c>
      <c r="F395" s="52">
        <f ca="1">'Landscape Trees '!G217</f>
        <v>38</v>
      </c>
      <c r="G395" s="68">
        <f ca="1">'Landscape Trees '!H217*0.9</f>
        <v>45</v>
      </c>
      <c r="H395" s="51" t="str">
        <f t="shared" ca="1" si="3"/>
        <v>American Linden #5-2021</v>
      </c>
      <c r="I395" s="54"/>
      <c r="J395" s="55">
        <f t="shared" ca="1" si="2"/>
        <v>0</v>
      </c>
      <c r="K395" s="55"/>
    </row>
    <row r="396" spans="1:11" ht="12.75" x14ac:dyDescent="0.2">
      <c r="A396" s="51" t="str">
        <f ca="1">'Landscape Trees '!A218</f>
        <v>Tilia americana 'American Sentry'</v>
      </c>
      <c r="B396" s="51" t="str">
        <f ca="1">'Landscape Trees '!C218</f>
        <v>American Sentry Linden</v>
      </c>
      <c r="C396" s="42" t="str">
        <f ca="1">'Landscape Trees '!D218</f>
        <v>#15</v>
      </c>
      <c r="D396" s="42" t="str">
        <f ca="1">'Landscape Trees '!E218</f>
        <v>1.25-2"</v>
      </c>
      <c r="E396" s="42" t="str">
        <f ca="1">'Landscape Trees '!F218</f>
        <v>8.5-12'</v>
      </c>
      <c r="F396" s="52">
        <f ca="1">'Landscape Trees '!G218</f>
        <v>1</v>
      </c>
      <c r="G396" s="68">
        <f ca="1">'Landscape Trees '!H218*0.9</f>
        <v>121.5</v>
      </c>
      <c r="H396" s="51" t="str">
        <f t="shared" ca="1" si="3"/>
        <v>American Sentry Linden #15-2021</v>
      </c>
      <c r="I396" s="54"/>
      <c r="J396" s="55">
        <f t="shared" ca="1" si="2"/>
        <v>0</v>
      </c>
      <c r="K396" s="55"/>
    </row>
    <row r="397" spans="1:11" ht="12.75" x14ac:dyDescent="0.2">
      <c r="A397" s="51" t="str">
        <f ca="1">'Landscape Trees '!A219</f>
        <v>Tilia cordata</v>
      </c>
      <c r="B397" s="51" t="str">
        <f ca="1">'Landscape Trees '!C219</f>
        <v>Littleleaf Linden</v>
      </c>
      <c r="C397" s="42" t="str">
        <f ca="1">'Landscape Trees '!D219</f>
        <v>#5</v>
      </c>
      <c r="D397" s="42" t="str">
        <f ca="1">'Landscape Trees '!E219</f>
        <v>0.75-1.5"</v>
      </c>
      <c r="E397" s="42" t="str">
        <f ca="1">'Landscape Trees '!F219</f>
        <v>5-8'</v>
      </c>
      <c r="F397" s="52">
        <f ca="1">'Landscape Trees '!G219</f>
        <v>21</v>
      </c>
      <c r="G397" s="68">
        <f ca="1">'Landscape Trees '!H219*0.9</f>
        <v>45</v>
      </c>
      <c r="H397" s="51" t="str">
        <f t="shared" ca="1" si="3"/>
        <v>Littleleaf Linden #5-2021</v>
      </c>
      <c r="I397" s="54"/>
      <c r="J397" s="55">
        <f t="shared" ca="1" si="2"/>
        <v>0</v>
      </c>
      <c r="K397" s="55"/>
    </row>
    <row r="398" spans="1:11" ht="12.75" x14ac:dyDescent="0.2">
      <c r="A398" s="51" t="str">
        <f ca="1">'Landscape Trees '!A220</f>
        <v>Tilia tomentosa</v>
      </c>
      <c r="B398" s="51" t="str">
        <f ca="1">'Landscape Trees '!C220</f>
        <v>Silver Linden</v>
      </c>
      <c r="C398" s="42" t="str">
        <f ca="1">'Landscape Trees '!D220</f>
        <v>#5</v>
      </c>
      <c r="D398" s="42" t="str">
        <f ca="1">'Landscape Trees '!E220</f>
        <v>0.5-1.5"</v>
      </c>
      <c r="E398" s="42" t="str">
        <f ca="1">'Landscape Trees '!F220</f>
        <v>3-9'</v>
      </c>
      <c r="F398" s="52">
        <f ca="1">'Landscape Trees '!G220</f>
        <v>39</v>
      </c>
      <c r="G398" s="68">
        <f ca="1">'Landscape Trees '!H220*0.9</f>
        <v>45</v>
      </c>
      <c r="H398" s="51" t="str">
        <f t="shared" ca="1" si="3"/>
        <v>Silver Linden #5-2021</v>
      </c>
      <c r="I398" s="54"/>
      <c r="J398" s="55">
        <f t="shared" ca="1" si="2"/>
        <v>0</v>
      </c>
      <c r="K398" s="55"/>
    </row>
    <row r="399" spans="1:11" ht="12.75" x14ac:dyDescent="0.2">
      <c r="A399" s="51" t="str">
        <f ca="1">'Landscape Trees '!A221</f>
        <v>Tilia x mongolica 'Harvest Gold'</v>
      </c>
      <c r="B399" s="51" t="str">
        <f ca="1">'Landscape Trees '!C221</f>
        <v>Harvest Gold Linden</v>
      </c>
      <c r="C399" s="42" t="str">
        <f ca="1">'Landscape Trees '!D221</f>
        <v>#15</v>
      </c>
      <c r="D399" s="42" t="str">
        <f ca="1">'Landscape Trees '!E221</f>
        <v>1.25-2.25"</v>
      </c>
      <c r="E399" s="42" t="str">
        <f ca="1">'Landscape Trees '!F221</f>
        <v>8.5-9.5'</v>
      </c>
      <c r="F399" s="52">
        <f ca="1">'Landscape Trees '!G221</f>
        <v>12</v>
      </c>
      <c r="G399" s="68">
        <f ca="1">'Landscape Trees '!H221*0.9</f>
        <v>121.5</v>
      </c>
      <c r="H399" s="51" t="str">
        <f t="shared" ca="1" si="3"/>
        <v>Harvest Gold Linden #15-2021</v>
      </c>
      <c r="I399" s="54"/>
      <c r="J399" s="55">
        <f t="shared" ca="1" si="2"/>
        <v>0</v>
      </c>
      <c r="K399" s="55"/>
    </row>
    <row r="400" spans="1:11" ht="12.75" x14ac:dyDescent="0.2">
      <c r="A400" s="51" t="str">
        <f ca="1">'Landscape Trees '!A222</f>
        <v>Tsuga canadensis</v>
      </c>
      <c r="B400" s="51" t="str">
        <f ca="1">'Landscape Trees '!C222</f>
        <v>Hemlock</v>
      </c>
      <c r="C400" s="42" t="str">
        <f ca="1">'Landscape Trees '!D222</f>
        <v>#10</v>
      </c>
      <c r="D400" s="42" t="str">
        <f ca="1">'Landscape Trees '!E222</f>
        <v>1.25-1.5"</v>
      </c>
      <c r="E400" s="42" t="str">
        <f ca="1">'Landscape Trees '!F222</f>
        <v>4-5'</v>
      </c>
      <c r="F400" s="52">
        <f ca="1">'Landscape Trees '!G222</f>
        <v>7</v>
      </c>
      <c r="G400" s="68">
        <f ca="1">'Landscape Trees '!H222*0.9</f>
        <v>121.5</v>
      </c>
      <c r="H400" s="51" t="str">
        <f t="shared" ca="1" si="3"/>
        <v>Hemlock #10-2021</v>
      </c>
      <c r="I400" s="54"/>
      <c r="J400" s="55">
        <f t="shared" ca="1" si="2"/>
        <v>0</v>
      </c>
      <c r="K400" s="55"/>
    </row>
    <row r="401" spans="1:11" ht="12.75" x14ac:dyDescent="0.2">
      <c r="A401" s="51" t="str">
        <f ca="1">'Landscape Trees '!A223</f>
        <v>Ulmus americana 'Princeton'</v>
      </c>
      <c r="B401" s="51" t="str">
        <f ca="1">'Landscape Trees '!C223</f>
        <v>Princeton Elm</v>
      </c>
      <c r="C401" s="42" t="str">
        <f ca="1">'Landscape Trees '!D223</f>
        <v>#15</v>
      </c>
      <c r="D401" s="42" t="str">
        <f ca="1">'Landscape Trees '!E223</f>
        <v>1.75-2"</v>
      </c>
      <c r="E401" s="42" t="str">
        <f ca="1">'Landscape Trees '!F223</f>
        <v>13-14'</v>
      </c>
      <c r="F401" s="52">
        <f ca="1">'Landscape Trees '!G223</f>
        <v>2</v>
      </c>
      <c r="G401" s="68">
        <f ca="1">'Landscape Trees '!H223*0.9</f>
        <v>121.5</v>
      </c>
      <c r="H401" s="51" t="str">
        <f t="shared" ca="1" si="3"/>
        <v>Princeton Elm #15-2021</v>
      </c>
      <c r="I401" s="54"/>
      <c r="J401" s="55">
        <f t="shared" ca="1" si="2"/>
        <v>0</v>
      </c>
      <c r="K401" s="55"/>
    </row>
    <row r="402" spans="1:11" ht="12.75" x14ac:dyDescent="0.2">
      <c r="A402" s="51" t="str">
        <f ca="1">'Landscape Trees '!A224</f>
        <v>Ulmus americana 'Valley Forge'</v>
      </c>
      <c r="B402" s="51" t="str">
        <f ca="1">'Landscape Trees '!C224</f>
        <v>Valley Forge Elm</v>
      </c>
      <c r="C402" s="42" t="str">
        <f ca="1">'Landscape Trees '!D224</f>
        <v>#15</v>
      </c>
      <c r="D402" s="42" t="str">
        <f ca="1">'Landscape Trees '!E224</f>
        <v>1-1.25"</v>
      </c>
      <c r="E402" s="42" t="str">
        <f ca="1">'Landscape Trees '!F224</f>
        <v>10-12'</v>
      </c>
      <c r="F402" s="52">
        <f ca="1">'Landscape Trees '!G224</f>
        <v>1</v>
      </c>
      <c r="G402" s="68">
        <f ca="1">'Landscape Trees '!H224*0.9</f>
        <v>121.5</v>
      </c>
      <c r="H402" s="51" t="str">
        <f t="shared" ca="1" si="3"/>
        <v>Valley Forge Elm #15-2021</v>
      </c>
      <c r="I402" s="54"/>
      <c r="J402" s="55">
        <f t="shared" ca="1" si="2"/>
        <v>0</v>
      </c>
      <c r="K402" s="55"/>
    </row>
    <row r="403" spans="1:11" ht="12.75" x14ac:dyDescent="0.2">
      <c r="A403" s="51" t="str">
        <f ca="1">'Landscape Trees '!A225</f>
        <v>Viburnum dentatum</v>
      </c>
      <c r="B403" s="51" t="str">
        <f ca="1">'Landscape Trees '!C225</f>
        <v>Arrowwood Viburnum</v>
      </c>
      <c r="C403" s="42" t="str">
        <f ca="1">'Landscape Trees '!D225</f>
        <v>#5</v>
      </c>
      <c r="D403" s="42" t="str">
        <f ca="1">'Landscape Trees '!E225</f>
        <v>Multi</v>
      </c>
      <c r="E403" s="42" t="str">
        <f ca="1">'Landscape Trees '!F225</f>
        <v>2-5'</v>
      </c>
      <c r="F403" s="52">
        <f ca="1">'Landscape Trees '!G225</f>
        <v>36</v>
      </c>
      <c r="G403" s="68">
        <f ca="1">'Landscape Trees '!H225*0.9</f>
        <v>33.300000000000004</v>
      </c>
      <c r="H403" s="51" t="str">
        <f t="shared" ca="1" si="3"/>
        <v>Arrowwood Viburnum #5-2021</v>
      </c>
      <c r="I403" s="54"/>
      <c r="J403" s="55">
        <f t="shared" ca="1" si="2"/>
        <v>0</v>
      </c>
      <c r="K403" s="55"/>
    </row>
    <row r="404" spans="1:11" ht="12.75" x14ac:dyDescent="0.2">
      <c r="A404" s="51" t="str">
        <f ca="1">'Landscape Trees '!A226</f>
        <v>Viburnum trilobum</v>
      </c>
      <c r="B404" s="51" t="str">
        <f ca="1">'Landscape Trees '!C226</f>
        <v>Cranberry Viburnum</v>
      </c>
      <c r="C404" s="42" t="str">
        <f ca="1">'Landscape Trees '!D226</f>
        <v>#5</v>
      </c>
      <c r="D404" s="42" t="str">
        <f ca="1">'Landscape Trees '!E226</f>
        <v>Multi</v>
      </c>
      <c r="E404" s="42" t="str">
        <f ca="1">'Landscape Trees '!F226</f>
        <v>2-4'</v>
      </c>
      <c r="F404" s="52">
        <f ca="1">'Landscape Trees '!G226</f>
        <v>75</v>
      </c>
      <c r="G404" s="68">
        <f ca="1">'Landscape Trees '!H226*0.9</f>
        <v>33.300000000000004</v>
      </c>
      <c r="H404" s="51" t="str">
        <f t="shared" ca="1" si="3"/>
        <v>Cranberry Viburnum #5-2021</v>
      </c>
      <c r="I404" s="54"/>
      <c r="J404" s="55">
        <f t="shared" ca="1" si="2"/>
        <v>0</v>
      </c>
      <c r="K404" s="55"/>
    </row>
    <row r="405" spans="1:11" ht="12.75" x14ac:dyDescent="0.2">
      <c r="A405" s="51" t="str">
        <f ca="1">'Landscape Trees '!A227</f>
        <v>X Gordlinia grandiflora</v>
      </c>
      <c r="B405" s="51" t="str">
        <f ca="1">'Landscape Trees '!C227</f>
        <v>Gordlinia</v>
      </c>
      <c r="C405" s="42" t="str">
        <f ca="1">'Landscape Trees '!D227</f>
        <v>#5</v>
      </c>
      <c r="D405" s="42" t="str">
        <f ca="1">'Landscape Trees '!E227</f>
        <v>0.25-1"</v>
      </c>
      <c r="E405" s="42" t="str">
        <f ca="1">'Landscape Trees '!F227</f>
        <v>2-6.5'</v>
      </c>
      <c r="F405" s="52">
        <f ca="1">'Landscape Trees '!G227</f>
        <v>1</v>
      </c>
      <c r="G405" s="68">
        <f ca="1">'Landscape Trees '!H227*0.9</f>
        <v>63</v>
      </c>
      <c r="H405" s="51" t="str">
        <f t="shared" ca="1" si="3"/>
        <v>Gordlinia #5-2021</v>
      </c>
      <c r="I405" s="54"/>
      <c r="J405" s="55">
        <f t="shared" ca="1" si="2"/>
        <v>0</v>
      </c>
      <c r="K405" s="55"/>
    </row>
    <row r="406" spans="1:11" ht="12.75" x14ac:dyDescent="0.2">
      <c r="A406" s="51" t="str">
        <f ca="1">'Landscape Trees '!A228</f>
        <v>X Gordlinia grandiflora</v>
      </c>
      <c r="B406" s="51" t="str">
        <f ca="1">'Landscape Trees '!C228</f>
        <v>Gordlinia</v>
      </c>
      <c r="C406" s="42" t="str">
        <f ca="1">'Landscape Trees '!D228</f>
        <v>#5</v>
      </c>
      <c r="D406" s="42" t="str">
        <f ca="1">'Landscape Trees '!E228</f>
        <v>Multi</v>
      </c>
      <c r="E406" s="42" t="str">
        <f ca="1">'Landscape Trees '!F228</f>
        <v>2-6.5'</v>
      </c>
      <c r="F406" s="52">
        <f ca="1">'Landscape Trees '!G228</f>
        <v>3</v>
      </c>
      <c r="G406" s="68">
        <f ca="1">'Landscape Trees '!H228*0.9</f>
        <v>63</v>
      </c>
      <c r="H406" s="51" t="str">
        <f t="shared" ca="1" si="3"/>
        <v>Gordlinia #5-2021</v>
      </c>
      <c r="I406" s="54"/>
      <c r="J406" s="55">
        <f t="shared" ca="1" si="2"/>
        <v>0</v>
      </c>
      <c r="K406" s="55"/>
    </row>
    <row r="407" spans="1:11" ht="12.75" x14ac:dyDescent="0.2">
      <c r="A407" s="51" t="str">
        <f ca="1">'Landscape Trees '!A229</f>
        <v>Zelkova serrata 'Green Vase'</v>
      </c>
      <c r="B407" s="51" t="str">
        <f ca="1">'Landscape Trees '!C229</f>
        <v>Green Vase Zelkova</v>
      </c>
      <c r="C407" s="42" t="str">
        <f ca="1">'Landscape Trees '!D229</f>
        <v>#15</v>
      </c>
      <c r="D407" s="42" t="str">
        <f ca="1">'Landscape Trees '!E229</f>
        <v>1.25-2.25"</v>
      </c>
      <c r="E407" s="42" t="str">
        <f ca="1">'Landscape Trees '!F229</f>
        <v>11-15'</v>
      </c>
      <c r="F407" s="52">
        <f ca="1">'Landscape Trees '!G229</f>
        <v>5</v>
      </c>
      <c r="G407" s="68">
        <f ca="1">'Landscape Trees '!H229*0.9</f>
        <v>121.5</v>
      </c>
      <c r="H407" s="51" t="str">
        <f t="shared" ca="1" si="3"/>
        <v>Green Vase Zelkova #15-2021</v>
      </c>
      <c r="I407" s="54"/>
      <c r="J407" s="55">
        <f t="shared" ca="1" si="2"/>
        <v>0</v>
      </c>
      <c r="K407" s="55"/>
    </row>
    <row r="408" spans="1:11" ht="12.75" x14ac:dyDescent="0.2">
      <c r="A408" s="51" t="str">
        <f ca="1">'Landscape Trees '!A230</f>
        <v>Zelkova serrata 'Village Green'</v>
      </c>
      <c r="B408" s="51" t="str">
        <f ca="1">'Landscape Trees '!C230</f>
        <v>Village Green Zelkova</v>
      </c>
      <c r="C408" s="42" t="str">
        <f ca="1">'Landscape Trees '!D230</f>
        <v>#10</v>
      </c>
      <c r="D408" s="42" t="str">
        <f ca="1">'Landscape Trees '!E230</f>
        <v>1.75-2"</v>
      </c>
      <c r="E408" s="42" t="str">
        <f ca="1">'Landscape Trees '!F230</f>
        <v>7-8'</v>
      </c>
      <c r="F408" s="52">
        <f ca="1">'Landscape Trees '!G230</f>
        <v>2</v>
      </c>
      <c r="G408" s="68">
        <f ca="1">'Landscape Trees '!H230*0.9</f>
        <v>90</v>
      </c>
      <c r="H408" s="51" t="str">
        <f t="shared" ca="1" si="3"/>
        <v>Village Green Zelkova #10-2021</v>
      </c>
      <c r="I408" s="54"/>
      <c r="J408" s="55">
        <f t="shared" ca="1" si="2"/>
        <v>0</v>
      </c>
      <c r="K408" s="55"/>
    </row>
    <row r="409" spans="1:11" ht="12.75" x14ac:dyDescent="0.2">
      <c r="A409" s="51" t="str">
        <f ca="1">'Landscape Trees '!A231</f>
        <v>Zelkova serrata 'Village Green'</v>
      </c>
      <c r="B409" s="51" t="str">
        <f ca="1">'Landscape Trees '!C231</f>
        <v>Village Green Zelkova</v>
      </c>
      <c r="C409" s="42" t="str">
        <f ca="1">'Landscape Trees '!D231</f>
        <v>#15</v>
      </c>
      <c r="D409" s="42" t="str">
        <f ca="1">'Landscape Trees '!E231</f>
        <v>2-2"</v>
      </c>
      <c r="E409" s="42" t="str">
        <f ca="1">'Landscape Trees '!F231</f>
        <v>11-11'</v>
      </c>
      <c r="F409" s="52">
        <f ca="1">'Landscape Trees '!G231</f>
        <v>1</v>
      </c>
      <c r="G409" s="68">
        <f ca="1">'Landscape Trees '!H231*0.9</f>
        <v>121.5</v>
      </c>
      <c r="H409" s="51" t="str">
        <f t="shared" ca="1" si="3"/>
        <v>Village Green Zelkova #15-2021</v>
      </c>
      <c r="I409" s="54"/>
      <c r="J409" s="55">
        <f t="shared" ca="1" si="2"/>
        <v>0</v>
      </c>
      <c r="K409" s="55"/>
    </row>
    <row r="410" spans="1:11" ht="12.75" x14ac:dyDescent="0.2">
      <c r="A410" s="51" t="str">
        <f ca="1">'Landscape Trees '!A232</f>
        <v>zx - 1.5"x1.5"x6' Stakes</v>
      </c>
      <c r="B410" s="51" t="str">
        <f ca="1">'Landscape Trees '!C232</f>
        <v>zx - 1.5"x1.5"x6' Stakes</v>
      </c>
      <c r="C410" s="42">
        <f>'Landscape Trees '!D232</f>
        <v>0</v>
      </c>
      <c r="D410" s="42" t="str">
        <f ca="1">'Landscape Trees '!E232</f>
        <v>0-0"</v>
      </c>
      <c r="E410" s="42" t="str">
        <f ca="1">'Landscape Trees '!F232</f>
        <v>0-0'</v>
      </c>
      <c r="F410" s="52">
        <f ca="1">'Landscape Trees '!G232</f>
        <v>2408</v>
      </c>
      <c r="G410" s="68">
        <f ca="1">'Landscape Trees '!H232*0.9</f>
        <v>2.7</v>
      </c>
      <c r="H410" s="51" t="str">
        <f t="shared" ca="1" si="3"/>
        <v>zx - 1.5"x1.5"x6' Stakes 0-2021</v>
      </c>
      <c r="I410" s="54"/>
      <c r="J410" s="55">
        <f t="shared" ca="1" si="2"/>
        <v>0</v>
      </c>
      <c r="K410" s="55"/>
    </row>
    <row r="411" spans="1:11" ht="12.75" x14ac:dyDescent="0.2">
      <c r="A411" s="51" t="str">
        <f ca="1">'Landscape Trees '!A233</f>
        <v>zx - 4' Bark Protector</v>
      </c>
      <c r="B411" s="51" t="str">
        <f ca="1">'Landscape Trees '!C233</f>
        <v>zx - 4' Bark Protector</v>
      </c>
      <c r="C411" s="42">
        <f>'Landscape Trees '!D233</f>
        <v>0</v>
      </c>
      <c r="D411" s="42" t="str">
        <f ca="1">'Landscape Trees '!E233</f>
        <v>0-0"</v>
      </c>
      <c r="E411" s="42" t="str">
        <f ca="1">'Landscape Trees '!F233</f>
        <v>0-0'</v>
      </c>
      <c r="F411" s="52">
        <f ca="1">'Landscape Trees '!G233</f>
        <v>745</v>
      </c>
      <c r="G411" s="68">
        <f ca="1">'Landscape Trees '!H233*0.9</f>
        <v>9</v>
      </c>
      <c r="H411" s="51" t="str">
        <f t="shared" ca="1" si="3"/>
        <v>zx - 4' Bark Protector 0-2021</v>
      </c>
      <c r="I411" s="54"/>
      <c r="J411" s="55">
        <f t="shared" ca="1" si="2"/>
        <v>0</v>
      </c>
      <c r="K411" s="55"/>
    </row>
    <row r="412" spans="1:11" ht="12.75" x14ac:dyDescent="0.2">
      <c r="A412" s="51" t="str">
        <f ca="1">'Landscape Trees '!A234</f>
        <v>zx - Felco #2 Pruners</v>
      </c>
      <c r="B412" s="51" t="str">
        <f ca="1">'Landscape Trees '!C234</f>
        <v>zx - Felco #2 Pruners</v>
      </c>
      <c r="C412" s="42">
        <f>'Landscape Trees '!D234</f>
        <v>0</v>
      </c>
      <c r="D412" s="42" t="str">
        <f ca="1">'Landscape Trees '!E234</f>
        <v>0-0"</v>
      </c>
      <c r="E412" s="42" t="str">
        <f ca="1">'Landscape Trees '!F234</f>
        <v>0-0'</v>
      </c>
      <c r="F412" s="52">
        <f ca="1">'Landscape Trees '!G234</f>
        <v>49</v>
      </c>
      <c r="G412" s="68">
        <f ca="1">'Landscape Trees '!H234*0.9</f>
        <v>58.5</v>
      </c>
      <c r="H412" s="51" t="str">
        <f t="shared" ca="1" si="3"/>
        <v>zx - Felco #2 Pruners 0-2021</v>
      </c>
      <c r="I412" s="54"/>
      <c r="J412" s="55">
        <f t="shared" ca="1" si="2"/>
        <v>0</v>
      </c>
      <c r="K412" s="55"/>
    </row>
    <row r="413" spans="1:11" ht="12.75" x14ac:dyDescent="0.2">
      <c r="A413" s="51" t="str">
        <f ca="1">'Landscape Trees '!A235</f>
        <v>zx - Shade Tarp</v>
      </c>
      <c r="B413" s="51" t="str">
        <f ca="1">'Landscape Trees '!C235</f>
        <v>zx -Shade Tarp</v>
      </c>
      <c r="C413" s="42">
        <f>'Landscape Trees '!D235</f>
        <v>0</v>
      </c>
      <c r="D413" s="42" t="str">
        <f ca="1">'Landscape Trees '!E235</f>
        <v>0-0"</v>
      </c>
      <c r="E413" s="42" t="str">
        <f ca="1">'Landscape Trees '!F235</f>
        <v>0-0'</v>
      </c>
      <c r="F413" s="52">
        <f ca="1">'Landscape Trees '!G235</f>
        <v>49</v>
      </c>
      <c r="G413" s="68">
        <f ca="1">'Landscape Trees '!H235*0.9</f>
        <v>27</v>
      </c>
      <c r="H413" s="51" t="str">
        <f t="shared" ca="1" si="3"/>
        <v>zx -Shade Tarp 0-2021</v>
      </c>
      <c r="I413" s="54"/>
      <c r="J413" s="55">
        <f t="shared" ca="1" si="2"/>
        <v>0</v>
      </c>
      <c r="K413" s="55"/>
    </row>
    <row r="414" spans="1:11" ht="12.75" x14ac:dyDescent="0.2">
      <c r="A414" s="51" t="str">
        <f ca="1">'Landscape Trees '!A236</f>
        <v>zx - Tree Diaper (for #10-#25)</v>
      </c>
      <c r="B414" s="51" t="str">
        <f ca="1">'Landscape Trees '!C236</f>
        <v>zx - Tree Diaper (for #10-#25)</v>
      </c>
      <c r="C414" s="42">
        <f>'Landscape Trees '!D236</f>
        <v>0</v>
      </c>
      <c r="D414" s="42" t="str">
        <f ca="1">'Landscape Trees '!E236</f>
        <v>0-0"</v>
      </c>
      <c r="E414" s="42" t="str">
        <f ca="1">'Landscape Trees '!F236</f>
        <v>0-0'</v>
      </c>
      <c r="F414" s="52">
        <f ca="1">'Landscape Trees '!G236</f>
        <v>91</v>
      </c>
      <c r="G414" s="68">
        <f ca="1">'Landscape Trees '!H236*0.9</f>
        <v>36</v>
      </c>
      <c r="H414" s="51" t="str">
        <f t="shared" ca="1" si="3"/>
        <v>zx - Tree Diaper (for #10-#25) 0-2021</v>
      </c>
      <c r="I414" s="54"/>
      <c r="J414" s="55">
        <f t="shared" ca="1" si="2"/>
        <v>0</v>
      </c>
      <c r="K414" s="55"/>
    </row>
    <row r="415" spans="1:11" ht="12.75" x14ac:dyDescent="0.2">
      <c r="A415" s="51" t="str">
        <f ca="1">'Landscape Trees '!A237</f>
        <v>zx -Cages</v>
      </c>
      <c r="B415" s="51" t="str">
        <f ca="1">'Landscape Trees '!C237</f>
        <v>zx -Cages</v>
      </c>
      <c r="C415" s="42">
        <f>'Landscape Trees '!D237</f>
        <v>0</v>
      </c>
      <c r="D415" s="42" t="str">
        <f ca="1">'Landscape Trees '!E237</f>
        <v>0-0"</v>
      </c>
      <c r="E415" s="42" t="str">
        <f ca="1">'Landscape Trees '!F237</f>
        <v>0-0'</v>
      </c>
      <c r="F415" s="52">
        <f ca="1">'Landscape Trees '!G237</f>
        <v>934</v>
      </c>
      <c r="G415" s="68">
        <f ca="1">'Landscape Trees '!H237</f>
        <v>45</v>
      </c>
      <c r="H415" s="51" t="str">
        <f t="shared" ca="1" si="3"/>
        <v>zx -Cages 0-2021</v>
      </c>
      <c r="I415" s="54"/>
      <c r="J415" s="55">
        <f t="shared" ca="1" si="2"/>
        <v>0</v>
      </c>
      <c r="K415" s="55"/>
    </row>
    <row r="416" spans="1:11" ht="12.75" x14ac:dyDescent="0.2">
      <c r="A416" s="51">
        <f>'Landscape Trees '!A238</f>
        <v>0</v>
      </c>
      <c r="B416" s="51">
        <f>'Landscape Trees '!C238</f>
        <v>0</v>
      </c>
      <c r="C416" s="42">
        <f>'Landscape Trees '!D238</f>
        <v>0</v>
      </c>
      <c r="D416" s="42">
        <f>'Landscape Trees '!E238</f>
        <v>0</v>
      </c>
      <c r="E416" s="42">
        <f>'Landscape Trees '!F238</f>
        <v>0</v>
      </c>
      <c r="F416" s="42">
        <f>'Landscape Trees '!G238</f>
        <v>0</v>
      </c>
      <c r="G416" s="68">
        <f>'Landscape Trees '!H238</f>
        <v>0</v>
      </c>
      <c r="H416" s="51" t="str">
        <f t="shared" si="3"/>
        <v>0 0-2021</v>
      </c>
      <c r="I416" s="54"/>
      <c r="J416" s="55">
        <f t="shared" si="2"/>
        <v>0</v>
      </c>
      <c r="K416" s="55"/>
    </row>
    <row r="417" spans="1:11" ht="12.75" x14ac:dyDescent="0.2">
      <c r="A417" s="51">
        <f>'Landscape Trees '!A239</f>
        <v>0</v>
      </c>
      <c r="B417" s="51">
        <f>'Landscape Trees '!C239</f>
        <v>0</v>
      </c>
      <c r="C417" s="42">
        <f>'Landscape Trees '!D239</f>
        <v>0</v>
      </c>
      <c r="D417" s="42">
        <f>'Landscape Trees '!E239</f>
        <v>0</v>
      </c>
      <c r="E417" s="42">
        <f>'Landscape Trees '!F239</f>
        <v>0</v>
      </c>
      <c r="F417" s="42">
        <f>'Landscape Trees '!G239</f>
        <v>0</v>
      </c>
      <c r="G417" s="68">
        <f>'Landscape Trees '!H239</f>
        <v>0</v>
      </c>
      <c r="H417" s="51" t="str">
        <f t="shared" si="3"/>
        <v>0 0-2021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'!A240</f>
        <v>0</v>
      </c>
      <c r="B418" s="51">
        <f>'Landscape Trees '!C240</f>
        <v>0</v>
      </c>
      <c r="C418" s="42">
        <f>'Landscape Trees '!D240</f>
        <v>0</v>
      </c>
      <c r="D418" s="42">
        <f>'Landscape Trees '!E240</f>
        <v>0</v>
      </c>
      <c r="E418" s="42">
        <f>'Landscape Trees '!F240</f>
        <v>0</v>
      </c>
      <c r="F418" s="42">
        <f>'Landscape Trees '!G240</f>
        <v>0</v>
      </c>
      <c r="G418" s="68">
        <f>'Landscape Trees '!H240</f>
        <v>0</v>
      </c>
      <c r="H418" s="51" t="str">
        <f t="shared" si="3"/>
        <v>0 0-2021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'!A241</f>
        <v>0</v>
      </c>
      <c r="B419" s="51">
        <f>'Landscape Trees '!C241</f>
        <v>0</v>
      </c>
      <c r="C419" s="42">
        <f>'Landscape Trees '!D241</f>
        <v>0</v>
      </c>
      <c r="D419" s="42">
        <f>'Landscape Trees '!E241</f>
        <v>0</v>
      </c>
      <c r="E419" s="42">
        <f>'Landscape Trees '!F241</f>
        <v>0</v>
      </c>
      <c r="F419" s="42">
        <f>'Landscape Trees '!G241</f>
        <v>0</v>
      </c>
      <c r="G419" s="68">
        <f>'Landscape Trees '!H241</f>
        <v>0</v>
      </c>
      <c r="H419" s="51" t="str">
        <f t="shared" si="3"/>
        <v>0 0-2021</v>
      </c>
      <c r="I419" s="54"/>
      <c r="J419" s="55">
        <f t="shared" si="2"/>
        <v>0</v>
      </c>
      <c r="K419" s="55"/>
    </row>
    <row r="420" spans="1:11" ht="12.75" x14ac:dyDescent="0.2">
      <c r="A420" s="51">
        <f>'Landscape Trees '!A242</f>
        <v>0</v>
      </c>
      <c r="B420" s="51">
        <f>'Landscape Trees '!C242</f>
        <v>0</v>
      </c>
      <c r="C420" s="42">
        <f>'Landscape Trees '!D242</f>
        <v>0</v>
      </c>
      <c r="D420" s="42">
        <f>'Landscape Trees '!E242</f>
        <v>0</v>
      </c>
      <c r="E420" s="42">
        <f>'Landscape Trees '!F242</f>
        <v>0</v>
      </c>
      <c r="F420" s="42">
        <f>'Landscape Trees '!G242</f>
        <v>0</v>
      </c>
      <c r="G420" s="68">
        <f>'Landscape Trees '!H242</f>
        <v>0</v>
      </c>
      <c r="H420" s="51" t="str">
        <f t="shared" si="3"/>
        <v>0 0-2021</v>
      </c>
      <c r="I420" s="54"/>
      <c r="J420" s="55">
        <f t="shared" si="2"/>
        <v>0</v>
      </c>
      <c r="K420" s="55"/>
    </row>
    <row r="421" spans="1:11" ht="12.75" x14ac:dyDescent="0.2">
      <c r="A421" s="51">
        <f>'Landscape Trees '!A243</f>
        <v>0</v>
      </c>
      <c r="B421" s="51">
        <f>'Landscape Trees '!C243</f>
        <v>0</v>
      </c>
      <c r="C421" s="42">
        <f>'Landscape Trees '!D243</f>
        <v>0</v>
      </c>
      <c r="D421" s="42">
        <f>'Landscape Trees '!E243</f>
        <v>0</v>
      </c>
      <c r="E421" s="42">
        <f>'Landscape Trees '!F243</f>
        <v>0</v>
      </c>
      <c r="F421" s="42">
        <f>'Landscape Trees '!G243</f>
        <v>0</v>
      </c>
      <c r="G421" s="68">
        <f>'Landscape Trees '!H243</f>
        <v>0</v>
      </c>
      <c r="H421" s="51" t="str">
        <f t="shared" si="3"/>
        <v>0 0-2021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'!A244</f>
        <v>0</v>
      </c>
      <c r="B422" s="51">
        <f>'Landscape Trees '!C244</f>
        <v>0</v>
      </c>
      <c r="C422" s="42">
        <f>'Landscape Trees '!D244</f>
        <v>0</v>
      </c>
      <c r="D422" s="42">
        <f>'Landscape Trees '!E244</f>
        <v>0</v>
      </c>
      <c r="E422" s="42">
        <f>'Landscape Trees '!F244</f>
        <v>0</v>
      </c>
      <c r="F422" s="42">
        <f>'Landscape Trees '!G244</f>
        <v>0</v>
      </c>
      <c r="G422" s="68">
        <f>'Landscape Trees '!H244</f>
        <v>0</v>
      </c>
      <c r="H422" s="51" t="str">
        <f t="shared" si="3"/>
        <v>0 0-2021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'!A245</f>
        <v>0</v>
      </c>
      <c r="B423" s="51">
        <f>'Landscape Trees '!C245</f>
        <v>0</v>
      </c>
      <c r="C423" s="42">
        <f>'Landscape Trees '!D245</f>
        <v>0</v>
      </c>
      <c r="D423" s="42">
        <f>'Landscape Trees '!E245</f>
        <v>0</v>
      </c>
      <c r="E423" s="42">
        <f>'Landscape Trees '!F245</f>
        <v>0</v>
      </c>
      <c r="F423" s="42">
        <f>'Landscape Trees '!G245</f>
        <v>0</v>
      </c>
      <c r="G423" s="68">
        <f>'Landscape Trees '!H245</f>
        <v>0</v>
      </c>
      <c r="H423" s="51" t="str">
        <f t="shared" si="3"/>
        <v>0 0-2021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'!A246</f>
        <v>0</v>
      </c>
      <c r="B424" s="51">
        <f>'Landscape Trees '!C246</f>
        <v>0</v>
      </c>
      <c r="C424" s="42">
        <f>'Landscape Trees '!D246</f>
        <v>0</v>
      </c>
      <c r="D424" s="42">
        <f>'Landscape Trees '!E246</f>
        <v>0</v>
      </c>
      <c r="E424" s="42">
        <f>'Landscape Trees '!F246</f>
        <v>0</v>
      </c>
      <c r="F424" s="42">
        <f>'Landscape Trees '!G246</f>
        <v>0</v>
      </c>
      <c r="G424" s="68">
        <f>'Landscape Trees '!H246</f>
        <v>0</v>
      </c>
      <c r="H424" s="51" t="str">
        <f t="shared" si="3"/>
        <v>0 0-2021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'!A247</f>
        <v>0</v>
      </c>
      <c r="B425" s="51">
        <f>'Landscape Trees '!C247</f>
        <v>0</v>
      </c>
      <c r="C425" s="42">
        <f>'Landscape Trees '!D247</f>
        <v>0</v>
      </c>
      <c r="D425" s="42">
        <f>'Landscape Trees '!E247</f>
        <v>0</v>
      </c>
      <c r="E425" s="42">
        <f>'Landscape Trees '!F247</f>
        <v>0</v>
      </c>
      <c r="F425" s="42">
        <f>'Landscape Trees '!G247</f>
        <v>0</v>
      </c>
      <c r="G425" s="68">
        <f>'Landscape Trees '!H247</f>
        <v>0</v>
      </c>
      <c r="H425" s="51" t="str">
        <f t="shared" si="3"/>
        <v>0 0-2021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'!A248</f>
        <v>0</v>
      </c>
      <c r="B426" s="51">
        <f>'Landscape Trees '!C248</f>
        <v>0</v>
      </c>
      <c r="C426" s="42">
        <f>'Landscape Trees '!D248</f>
        <v>0</v>
      </c>
      <c r="D426" s="42">
        <f>'Landscape Trees '!E248</f>
        <v>0</v>
      </c>
      <c r="E426" s="42">
        <f>'Landscape Trees '!F248</f>
        <v>0</v>
      </c>
      <c r="F426" s="42">
        <f>'Landscape Trees '!G248</f>
        <v>0</v>
      </c>
      <c r="G426" s="68">
        <f>'Landscape Trees '!H248*0.9</f>
        <v>0</v>
      </c>
      <c r="H426" s="51" t="str">
        <f t="shared" si="3"/>
        <v>0 0-2021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'!A249</f>
        <v>0</v>
      </c>
      <c r="B427" s="51">
        <f>'Landscape Trees '!C249</f>
        <v>0</v>
      </c>
      <c r="C427" s="42">
        <f>'Landscape Trees '!D249</f>
        <v>0</v>
      </c>
      <c r="D427" s="42">
        <f>'Landscape Trees '!E249</f>
        <v>0</v>
      </c>
      <c r="E427" s="42">
        <f>'Landscape Trees '!F249</f>
        <v>0</v>
      </c>
      <c r="F427" s="42">
        <f>'Landscape Trees '!G249</f>
        <v>0</v>
      </c>
      <c r="G427" s="68">
        <f>'Landscape Trees '!H249*0.9</f>
        <v>0</v>
      </c>
      <c r="H427" s="51" t="str">
        <f t="shared" si="3"/>
        <v>0 0-2021</v>
      </c>
      <c r="I427" s="54"/>
      <c r="J427" s="55">
        <f t="shared" si="2"/>
        <v>0</v>
      </c>
      <c r="K427" s="55"/>
    </row>
    <row r="428" spans="1:11" ht="12.75" x14ac:dyDescent="0.2">
      <c r="A428" s="51">
        <f>'Landscape Trees '!A250</f>
        <v>0</v>
      </c>
      <c r="B428" s="51">
        <f>'Landscape Trees '!C250</f>
        <v>0</v>
      </c>
      <c r="C428" s="42">
        <f>'Landscape Trees '!D250</f>
        <v>0</v>
      </c>
      <c r="D428" s="42">
        <f>'Landscape Trees '!E250</f>
        <v>0</v>
      </c>
      <c r="E428" s="42">
        <f>'Landscape Trees '!F250</f>
        <v>0</v>
      </c>
      <c r="F428" s="42">
        <f>'Landscape Trees '!G250</f>
        <v>0</v>
      </c>
      <c r="G428" s="68">
        <f>'Landscape Trees '!H250*0.9</f>
        <v>0</v>
      </c>
      <c r="H428" s="51" t="str">
        <f t="shared" si="3"/>
        <v>0 0-2021</v>
      </c>
      <c r="I428" s="54"/>
      <c r="J428" s="55">
        <f t="shared" si="2"/>
        <v>0</v>
      </c>
      <c r="K428" s="55"/>
    </row>
    <row r="429" spans="1:11" ht="12.75" x14ac:dyDescent="0.2">
      <c r="A429" s="51">
        <f>'Landscape Trees '!A251</f>
        <v>0</v>
      </c>
      <c r="B429" s="51">
        <f>'Landscape Trees '!C251</f>
        <v>0</v>
      </c>
      <c r="C429" s="42">
        <f>'Landscape Trees '!D251</f>
        <v>0</v>
      </c>
      <c r="D429" s="42">
        <f>'Landscape Trees '!E251</f>
        <v>0</v>
      </c>
      <c r="E429" s="42">
        <f>'Landscape Trees '!F251</f>
        <v>0</v>
      </c>
      <c r="F429" s="42">
        <f>'Landscape Trees '!G251</f>
        <v>0</v>
      </c>
      <c r="G429" s="68">
        <f>'Landscape Trees '!H251*0.9</f>
        <v>0</v>
      </c>
      <c r="H429" s="51" t="str">
        <f t="shared" si="3"/>
        <v>0 0-2021</v>
      </c>
      <c r="I429" s="54"/>
      <c r="J429" s="55">
        <f t="shared" si="2"/>
        <v>0</v>
      </c>
      <c r="K429" s="55"/>
    </row>
    <row r="430" spans="1:11" ht="12.75" hidden="1" x14ac:dyDescent="0.2">
      <c r="A430" s="51">
        <f>'Landscape Trees '!A252</f>
        <v>0</v>
      </c>
      <c r="B430" s="51">
        <f>'Landscape Trees '!C252</f>
        <v>0</v>
      </c>
      <c r="C430" s="42">
        <f>'Landscape Trees '!D252</f>
        <v>0</v>
      </c>
      <c r="D430" s="42">
        <f>'Landscape Trees '!E252</f>
        <v>0</v>
      </c>
      <c r="E430" s="42">
        <f>'Landscape Trees '!F252</f>
        <v>0</v>
      </c>
      <c r="F430" s="42">
        <f>'Landscape Trees '!G252</f>
        <v>0</v>
      </c>
      <c r="G430" s="42">
        <f>'Landscape Trees '!H252*0.9</f>
        <v>0</v>
      </c>
      <c r="H430" s="51" t="str">
        <f t="shared" si="3"/>
        <v>0 0-2021</v>
      </c>
      <c r="I430" s="69"/>
      <c r="J430" s="55">
        <f t="shared" si="2"/>
        <v>0</v>
      </c>
      <c r="K430" s="55"/>
    </row>
    <row r="431" spans="1:11" ht="12.75" x14ac:dyDescent="0.2">
      <c r="A431" s="51">
        <f>'Landscape Trees '!A253</f>
        <v>0</v>
      </c>
      <c r="B431" s="51">
        <f>'Landscape Trees '!C253</f>
        <v>0</v>
      </c>
      <c r="C431" s="42">
        <f>'Landscape Trees '!D253</f>
        <v>0</v>
      </c>
      <c r="D431" s="42">
        <f>'Landscape Trees '!E253</f>
        <v>0</v>
      </c>
      <c r="E431" s="42">
        <f>'Landscape Trees '!F253</f>
        <v>0</v>
      </c>
      <c r="F431" s="42">
        <f>'Landscape Trees '!G253</f>
        <v>0</v>
      </c>
      <c r="G431" s="68">
        <f>'Landscape Trees '!H253*0.9</f>
        <v>0</v>
      </c>
      <c r="H431" s="51" t="str">
        <f t="shared" si="3"/>
        <v>0 0-2021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'!A254</f>
        <v>0</v>
      </c>
      <c r="B432" s="51">
        <f>'Landscape Trees '!C254</f>
        <v>0</v>
      </c>
      <c r="C432" s="42">
        <f>'Landscape Trees '!D254</f>
        <v>0</v>
      </c>
      <c r="D432" s="42">
        <f>'Landscape Trees '!E254</f>
        <v>0</v>
      </c>
      <c r="E432" s="42">
        <f>'Landscape Trees '!F254</f>
        <v>0</v>
      </c>
      <c r="F432" s="42">
        <f>'Landscape Trees '!G254</f>
        <v>0</v>
      </c>
      <c r="G432" s="68">
        <f>'Landscape Trees '!H254*0.9</f>
        <v>0</v>
      </c>
      <c r="H432" s="51" t="str">
        <f t="shared" si="3"/>
        <v>0 0-2021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'!A255</f>
        <v>0</v>
      </c>
      <c r="B433" s="51">
        <f>'Landscape Trees '!C255</f>
        <v>0</v>
      </c>
      <c r="C433" s="42">
        <f>'Landscape Trees '!D255</f>
        <v>0</v>
      </c>
      <c r="D433" s="42">
        <f>'Landscape Trees '!E255</f>
        <v>0</v>
      </c>
      <c r="E433" s="42">
        <f>'Landscape Trees '!F255</f>
        <v>0</v>
      </c>
      <c r="F433" s="42">
        <f>'Landscape Trees '!G255</f>
        <v>0</v>
      </c>
      <c r="G433" s="68">
        <f>'Landscape Trees '!H255*0.9</f>
        <v>0</v>
      </c>
      <c r="H433" s="51" t="str">
        <f t="shared" si="3"/>
        <v>0 0-2021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'!A256</f>
        <v>0</v>
      </c>
      <c r="B434" s="51">
        <f>'Landscape Trees '!C256</f>
        <v>0</v>
      </c>
      <c r="C434" s="42">
        <f>'Landscape Trees '!D256</f>
        <v>0</v>
      </c>
      <c r="D434" s="42">
        <f>'Landscape Trees '!E256</f>
        <v>0</v>
      </c>
      <c r="E434" s="42">
        <f>'Landscape Trees '!F256</f>
        <v>0</v>
      </c>
      <c r="F434" s="42">
        <f>'Landscape Trees '!G256</f>
        <v>0</v>
      </c>
      <c r="G434" s="68">
        <f>'Landscape Trees '!H256*0.9</f>
        <v>0</v>
      </c>
      <c r="H434" s="51" t="str">
        <f t="shared" si="3"/>
        <v>0 0-2021</v>
      </c>
      <c r="I434" s="54"/>
      <c r="J434" s="55">
        <f t="shared" si="2"/>
        <v>0</v>
      </c>
      <c r="K434" s="55"/>
    </row>
    <row r="435" spans="1:11" ht="12.75" x14ac:dyDescent="0.2">
      <c r="A435" s="51">
        <f>'Landscape Trees '!A257</f>
        <v>0</v>
      </c>
      <c r="B435" s="51">
        <f>'Landscape Trees '!C257</f>
        <v>0</v>
      </c>
      <c r="C435" s="42">
        <f>'Landscape Trees '!D257</f>
        <v>0</v>
      </c>
      <c r="D435" s="42">
        <f>'Landscape Trees '!E257</f>
        <v>0</v>
      </c>
      <c r="E435" s="42">
        <f>'Landscape Trees '!F257</f>
        <v>0</v>
      </c>
      <c r="F435" s="42">
        <f>'Landscape Trees '!G257</f>
        <v>0</v>
      </c>
      <c r="G435" s="68">
        <f>'Landscape Trees '!H257*0.9</f>
        <v>0</v>
      </c>
      <c r="H435" s="51" t="str">
        <f t="shared" si="3"/>
        <v>0 0-2021</v>
      </c>
      <c r="I435" s="54"/>
      <c r="J435" s="55">
        <f t="shared" ref="J435:J469" si="4">I435*G435</f>
        <v>0</v>
      </c>
      <c r="K435" s="55"/>
    </row>
    <row r="436" spans="1:11" ht="12.75" x14ac:dyDescent="0.2">
      <c r="A436" s="51">
        <f>'Landscape Trees '!A258</f>
        <v>0</v>
      </c>
      <c r="B436" s="51">
        <f>'Landscape Trees '!C258</f>
        <v>0</v>
      </c>
      <c r="C436" s="42">
        <f>'Landscape Trees '!D258</f>
        <v>0</v>
      </c>
      <c r="D436" s="42">
        <f>'Landscape Trees '!E258</f>
        <v>0</v>
      </c>
      <c r="E436" s="42">
        <f>'Landscape Trees '!F258</f>
        <v>0</v>
      </c>
      <c r="F436" s="42">
        <f>'Landscape Trees '!G258</f>
        <v>0</v>
      </c>
      <c r="G436" s="68">
        <f>'Landscape Trees '!H258*0.9</f>
        <v>0</v>
      </c>
      <c r="H436" s="51" t="str">
        <f t="shared" si="3"/>
        <v>0 0-2021</v>
      </c>
      <c r="I436" s="54"/>
      <c r="J436" s="55">
        <f t="shared" si="4"/>
        <v>0</v>
      </c>
      <c r="K436" s="55"/>
    </row>
    <row r="437" spans="1:11" ht="12.75" x14ac:dyDescent="0.2">
      <c r="A437" s="51">
        <f>'Landscape Trees '!A259</f>
        <v>0</v>
      </c>
      <c r="B437" s="51">
        <f>'Landscape Trees '!C259</f>
        <v>0</v>
      </c>
      <c r="C437" s="42">
        <f>'Landscape Trees '!D259</f>
        <v>0</v>
      </c>
      <c r="D437" s="42">
        <f>'Landscape Trees '!E259</f>
        <v>0</v>
      </c>
      <c r="E437" s="42">
        <f>'Landscape Trees '!F259</f>
        <v>0</v>
      </c>
      <c r="F437" s="42">
        <f>'Landscape Trees '!G259</f>
        <v>0</v>
      </c>
      <c r="G437" s="68">
        <f>'Landscape Trees '!H259*0.9</f>
        <v>0</v>
      </c>
      <c r="H437" s="51" t="str">
        <f t="shared" si="3"/>
        <v>0 0-2021</v>
      </c>
      <c r="I437" s="54"/>
      <c r="J437" s="55">
        <f t="shared" si="4"/>
        <v>0</v>
      </c>
      <c r="K437" s="55"/>
    </row>
    <row r="438" spans="1:11" ht="12.75" hidden="1" x14ac:dyDescent="0.2">
      <c r="A438" s="51">
        <f>'Landscape Trees '!A260</f>
        <v>0</v>
      </c>
      <c r="B438" s="51">
        <f>'Landscape Trees '!C260</f>
        <v>0</v>
      </c>
      <c r="C438" s="42">
        <f>'Landscape Trees '!D260</f>
        <v>0</v>
      </c>
      <c r="D438" s="42">
        <f>'Landscape Trees '!E260</f>
        <v>0</v>
      </c>
      <c r="E438" s="42">
        <f>'Landscape Trees '!F260</f>
        <v>0</v>
      </c>
      <c r="F438" s="42">
        <f>'Landscape Trees '!G260</f>
        <v>0</v>
      </c>
      <c r="G438" s="42">
        <f>'Landscape Trees '!H260*0.9</f>
        <v>0</v>
      </c>
      <c r="H438" s="51" t="str">
        <f t="shared" si="3"/>
        <v>0 0-2021</v>
      </c>
      <c r="I438" s="69"/>
      <c r="J438" s="55">
        <f t="shared" si="4"/>
        <v>0</v>
      </c>
      <c r="K438" s="55"/>
    </row>
    <row r="439" spans="1:11" ht="12.75" x14ac:dyDescent="0.2">
      <c r="A439" s="51">
        <f>'Landscape Trees '!A261</f>
        <v>0</v>
      </c>
      <c r="B439" s="51">
        <f>'Landscape Trees '!C261</f>
        <v>0</v>
      </c>
      <c r="C439" s="42">
        <f>'Landscape Trees '!D261</f>
        <v>0</v>
      </c>
      <c r="D439" s="42">
        <f>'Landscape Trees '!E261</f>
        <v>0</v>
      </c>
      <c r="E439" s="42">
        <f>'Landscape Trees '!F261</f>
        <v>0</v>
      </c>
      <c r="F439" s="42">
        <f>'Landscape Trees '!G261</f>
        <v>0</v>
      </c>
      <c r="G439" s="68">
        <f>'Landscape Trees '!H261*0.9</f>
        <v>0</v>
      </c>
      <c r="H439" s="51" t="str">
        <f t="shared" si="3"/>
        <v>0 0-2021</v>
      </c>
      <c r="I439" s="54"/>
      <c r="J439" s="55">
        <f t="shared" si="4"/>
        <v>0</v>
      </c>
      <c r="K439" s="55"/>
    </row>
    <row r="440" spans="1:11" ht="12.75" x14ac:dyDescent="0.2">
      <c r="A440" s="51">
        <f>'Landscape Trees '!A262</f>
        <v>0</v>
      </c>
      <c r="B440" s="51">
        <f>'Landscape Trees '!C262</f>
        <v>0</v>
      </c>
      <c r="C440" s="42">
        <f>'Landscape Trees '!D262</f>
        <v>0</v>
      </c>
      <c r="D440" s="42">
        <f>'Landscape Trees '!E262</f>
        <v>0</v>
      </c>
      <c r="E440" s="42">
        <f>'Landscape Trees '!F262</f>
        <v>0</v>
      </c>
      <c r="F440" s="42">
        <f>'Landscape Trees '!G262</f>
        <v>0</v>
      </c>
      <c r="G440" s="68">
        <f>'Landscape Trees '!H262*0.9</f>
        <v>0</v>
      </c>
      <c r="H440" s="51" t="str">
        <f t="shared" si="3"/>
        <v>0 0-2021</v>
      </c>
      <c r="I440" s="54"/>
      <c r="J440" s="55">
        <f t="shared" si="4"/>
        <v>0</v>
      </c>
      <c r="K440" s="55"/>
    </row>
    <row r="441" spans="1:11" ht="12.75" x14ac:dyDescent="0.2">
      <c r="A441" s="51">
        <f>'Landscape Trees '!A263</f>
        <v>0</v>
      </c>
      <c r="B441" s="51">
        <f>'Landscape Trees '!C263</f>
        <v>0</v>
      </c>
      <c r="C441" s="42">
        <f>'Landscape Trees '!D263</f>
        <v>0</v>
      </c>
      <c r="D441" s="42">
        <f>'Landscape Trees '!E263</f>
        <v>0</v>
      </c>
      <c r="E441" s="42">
        <f>'Landscape Trees '!F263</f>
        <v>0</v>
      </c>
      <c r="F441" s="42">
        <f>'Landscape Trees '!G263</f>
        <v>0</v>
      </c>
      <c r="G441" s="68">
        <f>'Landscape Trees '!H263*0.9</f>
        <v>0</v>
      </c>
      <c r="H441" s="51" t="str">
        <f t="shared" si="3"/>
        <v>0 0-2021</v>
      </c>
      <c r="I441" s="54"/>
      <c r="J441" s="55">
        <f t="shared" si="4"/>
        <v>0</v>
      </c>
      <c r="K441" s="55"/>
    </row>
    <row r="442" spans="1:11" ht="12.75" x14ac:dyDescent="0.2">
      <c r="A442" s="51">
        <f>'Landscape Trees '!A264</f>
        <v>0</v>
      </c>
      <c r="B442" s="51">
        <f>'Landscape Trees '!C264</f>
        <v>0</v>
      </c>
      <c r="C442" s="42">
        <f>'Landscape Trees '!D264</f>
        <v>0</v>
      </c>
      <c r="D442" s="42">
        <f>'Landscape Trees '!E264</f>
        <v>0</v>
      </c>
      <c r="E442" s="42">
        <f>'Landscape Trees '!F264</f>
        <v>0</v>
      </c>
      <c r="F442" s="42">
        <f>'Landscape Trees '!G264</f>
        <v>0</v>
      </c>
      <c r="G442" s="68">
        <f>'Landscape Trees '!H264*0.9</f>
        <v>0</v>
      </c>
      <c r="H442" s="51" t="str">
        <f t="shared" si="3"/>
        <v>0 0-2021</v>
      </c>
      <c r="I442" s="54"/>
      <c r="J442" s="55">
        <f t="shared" si="4"/>
        <v>0</v>
      </c>
      <c r="K442" s="55"/>
    </row>
    <row r="443" spans="1:11" ht="12.75" x14ac:dyDescent="0.2">
      <c r="A443" s="51">
        <f>'Landscape Trees '!A265</f>
        <v>0</v>
      </c>
      <c r="B443" s="51">
        <f>'Landscape Trees '!C265</f>
        <v>0</v>
      </c>
      <c r="C443" s="42">
        <f>'Landscape Trees '!D265</f>
        <v>0</v>
      </c>
      <c r="D443" s="42">
        <f>'Landscape Trees '!E265</f>
        <v>0</v>
      </c>
      <c r="E443" s="42">
        <f>'Landscape Trees '!F265</f>
        <v>0</v>
      </c>
      <c r="F443" s="42">
        <f>'Landscape Trees '!G265</f>
        <v>0</v>
      </c>
      <c r="G443" s="68">
        <f>'Landscape Trees '!H265*0.9</f>
        <v>0</v>
      </c>
      <c r="H443" s="51" t="str">
        <f t="shared" si="3"/>
        <v>0 0-2021</v>
      </c>
      <c r="I443" s="54"/>
      <c r="J443" s="55">
        <f t="shared" si="4"/>
        <v>0</v>
      </c>
      <c r="K443" s="55"/>
    </row>
    <row r="444" spans="1:11" ht="12.75" x14ac:dyDescent="0.2">
      <c r="A444" s="51">
        <f>'Landscape Trees '!A266</f>
        <v>0</v>
      </c>
      <c r="B444" s="51">
        <f>'Landscape Trees '!C266</f>
        <v>0</v>
      </c>
      <c r="C444" s="42">
        <f>'Landscape Trees '!D266</f>
        <v>0</v>
      </c>
      <c r="D444" s="42">
        <f>'Landscape Trees '!E266</f>
        <v>0</v>
      </c>
      <c r="E444" s="42">
        <f>'Landscape Trees '!F266</f>
        <v>0</v>
      </c>
      <c r="F444" s="42">
        <f>'Landscape Trees '!G266</f>
        <v>0</v>
      </c>
      <c r="G444" s="68">
        <f>'Landscape Trees '!H266*0.9</f>
        <v>0</v>
      </c>
      <c r="H444" s="51" t="str">
        <f t="shared" si="3"/>
        <v>0 0-2021</v>
      </c>
      <c r="I444" s="54"/>
      <c r="J444" s="55">
        <f t="shared" si="4"/>
        <v>0</v>
      </c>
      <c r="K444" s="55"/>
    </row>
    <row r="445" spans="1:11" ht="12.75" x14ac:dyDescent="0.2">
      <c r="A445" s="51" t="e">
        <f t="shared" ref="A445:F445" si="5">#REF!</f>
        <v>#REF!</v>
      </c>
      <c r="B445" s="51" t="e">
        <f t="shared" si="5"/>
        <v>#REF!</v>
      </c>
      <c r="C445" s="42" t="e">
        <f t="shared" si="5"/>
        <v>#REF!</v>
      </c>
      <c r="D445" s="42" t="e">
        <f t="shared" si="5"/>
        <v>#REF!</v>
      </c>
      <c r="E445" s="42" t="e">
        <f t="shared" si="5"/>
        <v>#REF!</v>
      </c>
      <c r="F445" s="42" t="e">
        <f t="shared" si="5"/>
        <v>#REF!</v>
      </c>
      <c r="G445" s="68" t="e">
        <f t="shared" ref="G445:G446" si="6">#REF!*0.9</f>
        <v>#REF!</v>
      </c>
      <c r="H445" s="51" t="e">
        <f t="shared" si="3"/>
        <v>#REF!</v>
      </c>
      <c r="I445" s="54"/>
      <c r="J445" s="55" t="e">
        <f t="shared" si="4"/>
        <v>#REF!</v>
      </c>
      <c r="K445" s="55"/>
    </row>
    <row r="446" spans="1:11" ht="12.75" x14ac:dyDescent="0.2">
      <c r="A446" s="51" t="e">
        <f t="shared" ref="A446:F446" si="7">#REF!</f>
        <v>#REF!</v>
      </c>
      <c r="B446" s="51" t="e">
        <f t="shared" si="7"/>
        <v>#REF!</v>
      </c>
      <c r="C446" s="42" t="e">
        <f t="shared" si="7"/>
        <v>#REF!</v>
      </c>
      <c r="D446" s="42" t="e">
        <f t="shared" si="7"/>
        <v>#REF!</v>
      </c>
      <c r="E446" s="42" t="e">
        <f t="shared" si="7"/>
        <v>#REF!</v>
      </c>
      <c r="F446" s="42" t="e">
        <f t="shared" si="7"/>
        <v>#REF!</v>
      </c>
      <c r="G446" s="68" t="e">
        <f t="shared" si="6"/>
        <v>#REF!</v>
      </c>
      <c r="H446" s="51" t="e">
        <f t="shared" si="3"/>
        <v>#REF!</v>
      </c>
      <c r="I446" s="54"/>
      <c r="J446" s="55" t="e">
        <f t="shared" si="4"/>
        <v>#REF!</v>
      </c>
      <c r="K446" s="55"/>
    </row>
    <row r="447" spans="1:11" ht="12.75" x14ac:dyDescent="0.2">
      <c r="A447" s="51" t="e">
        <f t="shared" ref="A447:G447" si="8">#REF!</f>
        <v>#REF!</v>
      </c>
      <c r="B447" s="51" t="e">
        <f t="shared" si="8"/>
        <v>#REF!</v>
      </c>
      <c r="C447" s="42" t="e">
        <f t="shared" si="8"/>
        <v>#REF!</v>
      </c>
      <c r="D447" s="42" t="e">
        <f t="shared" si="8"/>
        <v>#REF!</v>
      </c>
      <c r="E447" s="42" t="e">
        <f t="shared" si="8"/>
        <v>#REF!</v>
      </c>
      <c r="F447" s="42" t="e">
        <f t="shared" si="8"/>
        <v>#REF!</v>
      </c>
      <c r="G447" s="68" t="e">
        <f t="shared" si="8"/>
        <v>#REF!</v>
      </c>
      <c r="H447" s="51" t="e">
        <f t="shared" si="3"/>
        <v>#REF!</v>
      </c>
      <c r="I447" s="54"/>
      <c r="J447" s="55" t="e">
        <f t="shared" si="4"/>
        <v>#REF!</v>
      </c>
      <c r="K447" s="55"/>
    </row>
    <row r="448" spans="1:11" ht="12.75" x14ac:dyDescent="0.2">
      <c r="A448" s="51" t="e">
        <f t="shared" ref="A448:G448" si="9">#REF!</f>
        <v>#REF!</v>
      </c>
      <c r="B448" s="51" t="e">
        <f t="shared" si="9"/>
        <v>#REF!</v>
      </c>
      <c r="C448" s="42" t="e">
        <f t="shared" si="9"/>
        <v>#REF!</v>
      </c>
      <c r="D448" s="42" t="e">
        <f t="shared" si="9"/>
        <v>#REF!</v>
      </c>
      <c r="E448" s="42" t="e">
        <f t="shared" si="9"/>
        <v>#REF!</v>
      </c>
      <c r="F448" s="42" t="e">
        <f t="shared" si="9"/>
        <v>#REF!</v>
      </c>
      <c r="G448" s="68" t="e">
        <f t="shared" si="9"/>
        <v>#REF!</v>
      </c>
      <c r="H448" s="51" t="e">
        <f t="shared" si="3"/>
        <v>#REF!</v>
      </c>
      <c r="I448" s="54"/>
      <c r="J448" s="55" t="e">
        <f t="shared" si="4"/>
        <v>#REF!</v>
      </c>
      <c r="K448" s="55"/>
    </row>
    <row r="449" spans="1:11" ht="12.75" x14ac:dyDescent="0.2">
      <c r="A449" s="51" t="e">
        <f t="shared" ref="A449:G449" si="10">#REF!</f>
        <v>#REF!</v>
      </c>
      <c r="B449" s="51" t="e">
        <f t="shared" si="10"/>
        <v>#REF!</v>
      </c>
      <c r="C449" s="42" t="e">
        <f t="shared" si="10"/>
        <v>#REF!</v>
      </c>
      <c r="D449" s="42" t="e">
        <f t="shared" si="10"/>
        <v>#REF!</v>
      </c>
      <c r="E449" s="42" t="e">
        <f t="shared" si="10"/>
        <v>#REF!</v>
      </c>
      <c r="F449" s="42" t="e">
        <f t="shared" si="10"/>
        <v>#REF!</v>
      </c>
      <c r="G449" s="68" t="e">
        <f t="shared" si="10"/>
        <v>#REF!</v>
      </c>
      <c r="H449" s="51" t="e">
        <f t="shared" si="3"/>
        <v>#REF!</v>
      </c>
      <c r="I449" s="54"/>
      <c r="J449" s="55" t="e">
        <f t="shared" si="4"/>
        <v>#REF!</v>
      </c>
      <c r="K449" s="55"/>
    </row>
    <row r="450" spans="1:11" ht="12.75" x14ac:dyDescent="0.2">
      <c r="A450" s="51" t="e">
        <f t="shared" ref="A450:G450" si="11">#REF!</f>
        <v>#REF!</v>
      </c>
      <c r="B450" s="51" t="e">
        <f t="shared" si="11"/>
        <v>#REF!</v>
      </c>
      <c r="C450" s="42" t="e">
        <f t="shared" si="11"/>
        <v>#REF!</v>
      </c>
      <c r="D450" s="42" t="e">
        <f t="shared" si="11"/>
        <v>#REF!</v>
      </c>
      <c r="E450" s="42" t="e">
        <f t="shared" si="11"/>
        <v>#REF!</v>
      </c>
      <c r="F450" s="42" t="e">
        <f t="shared" si="11"/>
        <v>#REF!</v>
      </c>
      <c r="G450" s="68" t="e">
        <f t="shared" si="11"/>
        <v>#REF!</v>
      </c>
      <c r="H450" s="51" t="e">
        <f t="shared" si="3"/>
        <v>#REF!</v>
      </c>
      <c r="I450" s="54"/>
      <c r="J450" s="55" t="e">
        <f t="shared" si="4"/>
        <v>#REF!</v>
      </c>
      <c r="K450" s="55"/>
    </row>
    <row r="451" spans="1:11" ht="12.75" x14ac:dyDescent="0.2">
      <c r="A451" s="51" t="e">
        <f t="shared" ref="A451:G451" si="12">#REF!</f>
        <v>#REF!</v>
      </c>
      <c r="B451" s="51" t="e">
        <f t="shared" si="12"/>
        <v>#REF!</v>
      </c>
      <c r="C451" s="42" t="e">
        <f t="shared" si="12"/>
        <v>#REF!</v>
      </c>
      <c r="D451" s="42" t="e">
        <f t="shared" si="12"/>
        <v>#REF!</v>
      </c>
      <c r="E451" s="42" t="e">
        <f t="shared" si="12"/>
        <v>#REF!</v>
      </c>
      <c r="F451" s="42" t="e">
        <f t="shared" si="12"/>
        <v>#REF!</v>
      </c>
      <c r="G451" s="68" t="e">
        <f t="shared" si="12"/>
        <v>#REF!</v>
      </c>
      <c r="H451" s="51" t="e">
        <f t="shared" si="3"/>
        <v>#REF!</v>
      </c>
      <c r="I451" s="54"/>
      <c r="J451" s="55" t="e">
        <f t="shared" si="4"/>
        <v>#REF!</v>
      </c>
      <c r="K451" s="55"/>
    </row>
    <row r="452" spans="1:11" ht="12.75" x14ac:dyDescent="0.2">
      <c r="A452" s="51" t="e">
        <f t="shared" ref="A452:G452" si="13">#REF!</f>
        <v>#REF!</v>
      </c>
      <c r="B452" s="51" t="e">
        <f t="shared" si="13"/>
        <v>#REF!</v>
      </c>
      <c r="C452" s="42" t="e">
        <f t="shared" si="13"/>
        <v>#REF!</v>
      </c>
      <c r="D452" s="42" t="e">
        <f t="shared" si="13"/>
        <v>#REF!</v>
      </c>
      <c r="E452" s="42" t="e">
        <f t="shared" si="13"/>
        <v>#REF!</v>
      </c>
      <c r="F452" s="42" t="e">
        <f t="shared" si="13"/>
        <v>#REF!</v>
      </c>
      <c r="G452" s="68" t="e">
        <f t="shared" si="13"/>
        <v>#REF!</v>
      </c>
      <c r="H452" s="51" t="e">
        <f t="shared" si="3"/>
        <v>#REF!</v>
      </c>
      <c r="I452" s="54"/>
      <c r="J452" s="55" t="e">
        <f t="shared" si="4"/>
        <v>#REF!</v>
      </c>
      <c r="K452" s="55"/>
    </row>
    <row r="453" spans="1:11" ht="12.75" x14ac:dyDescent="0.2">
      <c r="A453" s="51" t="e">
        <f t="shared" ref="A453:G453" si="14">#REF!</f>
        <v>#REF!</v>
      </c>
      <c r="B453" s="51" t="e">
        <f t="shared" si="14"/>
        <v>#REF!</v>
      </c>
      <c r="C453" s="42" t="e">
        <f t="shared" si="14"/>
        <v>#REF!</v>
      </c>
      <c r="D453" s="42" t="e">
        <f t="shared" si="14"/>
        <v>#REF!</v>
      </c>
      <c r="E453" s="42" t="e">
        <f t="shared" si="14"/>
        <v>#REF!</v>
      </c>
      <c r="F453" s="42" t="e">
        <f t="shared" si="14"/>
        <v>#REF!</v>
      </c>
      <c r="G453" s="68" t="e">
        <f t="shared" si="14"/>
        <v>#REF!</v>
      </c>
      <c r="H453" s="51" t="e">
        <f t="shared" si="3"/>
        <v>#REF!</v>
      </c>
      <c r="I453" s="54"/>
      <c r="J453" s="55" t="e">
        <f t="shared" si="4"/>
        <v>#REF!</v>
      </c>
      <c r="K453" s="55"/>
    </row>
    <row r="454" spans="1:11" ht="12.75" x14ac:dyDescent="0.2">
      <c r="A454" s="51" t="e">
        <f t="shared" ref="A454:G454" si="15">#REF!</f>
        <v>#REF!</v>
      </c>
      <c r="B454" s="51" t="e">
        <f t="shared" si="15"/>
        <v>#REF!</v>
      </c>
      <c r="C454" s="42" t="e">
        <f t="shared" si="15"/>
        <v>#REF!</v>
      </c>
      <c r="D454" s="42" t="e">
        <f t="shared" si="15"/>
        <v>#REF!</v>
      </c>
      <c r="E454" s="42" t="e">
        <f t="shared" si="15"/>
        <v>#REF!</v>
      </c>
      <c r="F454" s="42" t="e">
        <f t="shared" si="15"/>
        <v>#REF!</v>
      </c>
      <c r="G454" s="68" t="e">
        <f t="shared" si="15"/>
        <v>#REF!</v>
      </c>
      <c r="H454" s="51" t="e">
        <f t="shared" si="3"/>
        <v>#REF!</v>
      </c>
      <c r="I454" s="54"/>
      <c r="J454" s="55" t="e">
        <f t="shared" si="4"/>
        <v>#REF!</v>
      </c>
      <c r="K454" s="55"/>
    </row>
    <row r="455" spans="1:11" ht="12.75" x14ac:dyDescent="0.2">
      <c r="A455" s="51" t="e">
        <f t="shared" ref="A455:G455" si="16">#REF!</f>
        <v>#REF!</v>
      </c>
      <c r="B455" s="51" t="e">
        <f t="shared" si="16"/>
        <v>#REF!</v>
      </c>
      <c r="C455" s="42" t="e">
        <f t="shared" si="16"/>
        <v>#REF!</v>
      </c>
      <c r="D455" s="42" t="e">
        <f t="shared" si="16"/>
        <v>#REF!</v>
      </c>
      <c r="E455" s="42" t="e">
        <f t="shared" si="16"/>
        <v>#REF!</v>
      </c>
      <c r="F455" s="42" t="e">
        <f t="shared" si="16"/>
        <v>#REF!</v>
      </c>
      <c r="G455" s="68" t="e">
        <f t="shared" si="16"/>
        <v>#REF!</v>
      </c>
      <c r="H455" s="51" t="e">
        <f t="shared" si="3"/>
        <v>#REF!</v>
      </c>
      <c r="I455" s="54"/>
      <c r="J455" s="55" t="e">
        <f t="shared" si="4"/>
        <v>#REF!</v>
      </c>
      <c r="K455" s="55"/>
    </row>
    <row r="456" spans="1:11" ht="12.75" x14ac:dyDescent="0.2">
      <c r="A456" s="51" t="e">
        <f t="shared" ref="A456:G456" si="17">#REF!</f>
        <v>#REF!</v>
      </c>
      <c r="B456" s="51" t="e">
        <f t="shared" si="17"/>
        <v>#REF!</v>
      </c>
      <c r="C456" s="42" t="e">
        <f t="shared" si="17"/>
        <v>#REF!</v>
      </c>
      <c r="D456" s="42" t="e">
        <f t="shared" si="17"/>
        <v>#REF!</v>
      </c>
      <c r="E456" s="42" t="e">
        <f t="shared" si="17"/>
        <v>#REF!</v>
      </c>
      <c r="F456" s="42" t="e">
        <f t="shared" si="17"/>
        <v>#REF!</v>
      </c>
      <c r="G456" s="68" t="e">
        <f t="shared" si="17"/>
        <v>#REF!</v>
      </c>
      <c r="H456" s="51" t="e">
        <f t="shared" si="3"/>
        <v>#REF!</v>
      </c>
      <c r="I456" s="54"/>
      <c r="J456" s="55" t="e">
        <f t="shared" si="4"/>
        <v>#REF!</v>
      </c>
      <c r="K456" s="55"/>
    </row>
    <row r="457" spans="1:11" ht="12.75" x14ac:dyDescent="0.2">
      <c r="A457" s="51" t="e">
        <f t="shared" ref="A457:G457" si="18">#REF!</f>
        <v>#REF!</v>
      </c>
      <c r="B457" s="51" t="e">
        <f t="shared" si="18"/>
        <v>#REF!</v>
      </c>
      <c r="C457" s="42" t="e">
        <f t="shared" si="18"/>
        <v>#REF!</v>
      </c>
      <c r="D457" s="42" t="e">
        <f t="shared" si="18"/>
        <v>#REF!</v>
      </c>
      <c r="E457" s="42" t="e">
        <f t="shared" si="18"/>
        <v>#REF!</v>
      </c>
      <c r="F457" s="42" t="e">
        <f t="shared" si="18"/>
        <v>#REF!</v>
      </c>
      <c r="G457" s="68" t="e">
        <f t="shared" si="18"/>
        <v>#REF!</v>
      </c>
      <c r="H457" s="51" t="e">
        <f t="shared" si="3"/>
        <v>#REF!</v>
      </c>
      <c r="I457" s="54"/>
      <c r="J457" s="55" t="e">
        <f t="shared" si="4"/>
        <v>#REF!</v>
      </c>
      <c r="K457" s="55"/>
    </row>
    <row r="458" spans="1:11" ht="12.75" x14ac:dyDescent="0.2">
      <c r="A458" s="51" t="e">
        <f t="shared" ref="A458:G458" si="19">#REF!</f>
        <v>#REF!</v>
      </c>
      <c r="B458" s="51" t="e">
        <f t="shared" si="19"/>
        <v>#REF!</v>
      </c>
      <c r="C458" s="42" t="e">
        <f t="shared" si="19"/>
        <v>#REF!</v>
      </c>
      <c r="D458" s="42" t="e">
        <f t="shared" si="19"/>
        <v>#REF!</v>
      </c>
      <c r="E458" s="42" t="e">
        <f t="shared" si="19"/>
        <v>#REF!</v>
      </c>
      <c r="F458" s="42" t="e">
        <f t="shared" si="19"/>
        <v>#REF!</v>
      </c>
      <c r="G458" s="68" t="e">
        <f t="shared" si="19"/>
        <v>#REF!</v>
      </c>
      <c r="H458" s="51" t="e">
        <f t="shared" si="3"/>
        <v>#REF!</v>
      </c>
      <c r="I458" s="54"/>
      <c r="J458" s="55" t="e">
        <f t="shared" si="4"/>
        <v>#REF!</v>
      </c>
      <c r="K458" s="55"/>
    </row>
    <row r="459" spans="1:11" ht="12.75" x14ac:dyDescent="0.2">
      <c r="A459" s="51" t="e">
        <f t="shared" ref="A459:G459" si="20">#REF!</f>
        <v>#REF!</v>
      </c>
      <c r="B459" s="51" t="e">
        <f t="shared" si="20"/>
        <v>#REF!</v>
      </c>
      <c r="C459" s="42" t="e">
        <f t="shared" si="20"/>
        <v>#REF!</v>
      </c>
      <c r="D459" s="42" t="e">
        <f t="shared" si="20"/>
        <v>#REF!</v>
      </c>
      <c r="E459" s="42" t="e">
        <f t="shared" si="20"/>
        <v>#REF!</v>
      </c>
      <c r="F459" s="42" t="e">
        <f t="shared" si="20"/>
        <v>#REF!</v>
      </c>
      <c r="G459" s="68" t="e">
        <f t="shared" si="20"/>
        <v>#REF!</v>
      </c>
      <c r="H459" s="51" t="e">
        <f t="shared" si="3"/>
        <v>#REF!</v>
      </c>
      <c r="I459" s="54"/>
      <c r="J459" s="55" t="e">
        <f t="shared" si="4"/>
        <v>#REF!</v>
      </c>
      <c r="K459" s="55"/>
    </row>
    <row r="460" spans="1:11" ht="12.75" x14ac:dyDescent="0.2">
      <c r="A460" s="51" t="e">
        <f t="shared" ref="A460:G460" si="21">#REF!</f>
        <v>#REF!</v>
      </c>
      <c r="B460" s="51" t="e">
        <f t="shared" si="21"/>
        <v>#REF!</v>
      </c>
      <c r="C460" s="42" t="e">
        <f t="shared" si="21"/>
        <v>#REF!</v>
      </c>
      <c r="D460" s="42" t="e">
        <f t="shared" si="21"/>
        <v>#REF!</v>
      </c>
      <c r="E460" s="42" t="e">
        <f t="shared" si="21"/>
        <v>#REF!</v>
      </c>
      <c r="F460" s="42" t="e">
        <f t="shared" si="21"/>
        <v>#REF!</v>
      </c>
      <c r="G460" s="68" t="e">
        <f t="shared" si="21"/>
        <v>#REF!</v>
      </c>
      <c r="H460" s="51" t="e">
        <f t="shared" si="3"/>
        <v>#REF!</v>
      </c>
      <c r="I460" s="54"/>
      <c r="J460" s="55" t="e">
        <f t="shared" si="4"/>
        <v>#REF!</v>
      </c>
      <c r="K460" s="55"/>
    </row>
    <row r="461" spans="1:11" ht="12.75" x14ac:dyDescent="0.2">
      <c r="A461" s="51" t="e">
        <f t="shared" ref="A461:G461" si="22">#REF!</f>
        <v>#REF!</v>
      </c>
      <c r="B461" s="51" t="e">
        <f t="shared" si="22"/>
        <v>#REF!</v>
      </c>
      <c r="C461" s="42" t="e">
        <f t="shared" si="22"/>
        <v>#REF!</v>
      </c>
      <c r="D461" s="42" t="e">
        <f t="shared" si="22"/>
        <v>#REF!</v>
      </c>
      <c r="E461" s="42" t="e">
        <f t="shared" si="22"/>
        <v>#REF!</v>
      </c>
      <c r="F461" s="42" t="e">
        <f t="shared" si="22"/>
        <v>#REF!</v>
      </c>
      <c r="G461" s="68" t="e">
        <f t="shared" si="22"/>
        <v>#REF!</v>
      </c>
      <c r="H461" s="51" t="e">
        <f t="shared" si="3"/>
        <v>#REF!</v>
      </c>
      <c r="I461" s="54"/>
      <c r="J461" s="55" t="e">
        <f t="shared" si="4"/>
        <v>#REF!</v>
      </c>
      <c r="K461" s="55"/>
    </row>
    <row r="462" spans="1:11" ht="12.75" x14ac:dyDescent="0.2">
      <c r="A462" s="51" t="e">
        <f t="shared" ref="A462:G462" si="23">#REF!</f>
        <v>#REF!</v>
      </c>
      <c r="B462" s="51" t="e">
        <f t="shared" si="23"/>
        <v>#REF!</v>
      </c>
      <c r="C462" s="42" t="e">
        <f t="shared" si="23"/>
        <v>#REF!</v>
      </c>
      <c r="D462" s="42" t="e">
        <f t="shared" si="23"/>
        <v>#REF!</v>
      </c>
      <c r="E462" s="42" t="e">
        <f t="shared" si="23"/>
        <v>#REF!</v>
      </c>
      <c r="F462" s="42" t="e">
        <f t="shared" si="23"/>
        <v>#REF!</v>
      </c>
      <c r="G462" s="68" t="e">
        <f t="shared" si="23"/>
        <v>#REF!</v>
      </c>
      <c r="H462" s="51" t="e">
        <f t="shared" si="3"/>
        <v>#REF!</v>
      </c>
      <c r="I462" s="54"/>
      <c r="J462" s="55" t="e">
        <f t="shared" si="4"/>
        <v>#REF!</v>
      </c>
      <c r="K462" s="55"/>
    </row>
    <row r="463" spans="1:11" ht="12.75" x14ac:dyDescent="0.2">
      <c r="A463" s="51" t="e">
        <f t="shared" ref="A463:G463" si="24">#REF!</f>
        <v>#REF!</v>
      </c>
      <c r="B463" s="51" t="e">
        <f t="shared" si="24"/>
        <v>#REF!</v>
      </c>
      <c r="C463" s="42" t="e">
        <f t="shared" si="24"/>
        <v>#REF!</v>
      </c>
      <c r="D463" s="42" t="e">
        <f t="shared" si="24"/>
        <v>#REF!</v>
      </c>
      <c r="E463" s="42" t="e">
        <f t="shared" si="24"/>
        <v>#REF!</v>
      </c>
      <c r="F463" s="42" t="e">
        <f t="shared" si="24"/>
        <v>#REF!</v>
      </c>
      <c r="G463" s="68" t="e">
        <f t="shared" si="24"/>
        <v>#REF!</v>
      </c>
      <c r="H463" s="51" t="e">
        <f t="shared" si="3"/>
        <v>#REF!</v>
      </c>
      <c r="I463" s="54"/>
      <c r="J463" s="55" t="e">
        <f t="shared" si="4"/>
        <v>#REF!</v>
      </c>
      <c r="K463" s="55"/>
    </row>
    <row r="464" spans="1:11" ht="12.75" x14ac:dyDescent="0.2">
      <c r="A464" s="51" t="e">
        <f t="shared" ref="A464:G464" si="25">#REF!</f>
        <v>#REF!</v>
      </c>
      <c r="B464" s="51" t="e">
        <f t="shared" si="25"/>
        <v>#REF!</v>
      </c>
      <c r="C464" s="42" t="e">
        <f t="shared" si="25"/>
        <v>#REF!</v>
      </c>
      <c r="D464" s="42" t="e">
        <f t="shared" si="25"/>
        <v>#REF!</v>
      </c>
      <c r="E464" s="42" t="e">
        <f t="shared" si="25"/>
        <v>#REF!</v>
      </c>
      <c r="F464" s="42" t="e">
        <f t="shared" si="25"/>
        <v>#REF!</v>
      </c>
      <c r="G464" s="68" t="e">
        <f t="shared" si="25"/>
        <v>#REF!</v>
      </c>
      <c r="H464" s="51" t="e">
        <f t="shared" si="3"/>
        <v>#REF!</v>
      </c>
      <c r="I464" s="54"/>
      <c r="J464" s="55" t="e">
        <f t="shared" si="4"/>
        <v>#REF!</v>
      </c>
      <c r="K464" s="55"/>
    </row>
    <row r="465" spans="1:11" ht="12.75" x14ac:dyDescent="0.2">
      <c r="A465" s="51" t="e">
        <f t="shared" ref="A465:G465" si="26">#REF!</f>
        <v>#REF!</v>
      </c>
      <c r="B465" s="51" t="e">
        <f t="shared" si="26"/>
        <v>#REF!</v>
      </c>
      <c r="C465" s="42" t="e">
        <f t="shared" si="26"/>
        <v>#REF!</v>
      </c>
      <c r="D465" s="42" t="e">
        <f t="shared" si="26"/>
        <v>#REF!</v>
      </c>
      <c r="E465" s="42" t="e">
        <f t="shared" si="26"/>
        <v>#REF!</v>
      </c>
      <c r="F465" s="42" t="e">
        <f t="shared" si="26"/>
        <v>#REF!</v>
      </c>
      <c r="G465" s="68" t="e">
        <f t="shared" si="26"/>
        <v>#REF!</v>
      </c>
      <c r="H465" s="51" t="e">
        <f t="shared" si="3"/>
        <v>#REF!</v>
      </c>
      <c r="I465" s="54"/>
      <c r="J465" s="55" t="e">
        <f t="shared" si="4"/>
        <v>#REF!</v>
      </c>
      <c r="K465" s="55"/>
    </row>
    <row r="466" spans="1:11" ht="12.75" x14ac:dyDescent="0.2">
      <c r="A466" s="51" t="e">
        <f t="shared" ref="A466:G466" si="27">#REF!</f>
        <v>#REF!</v>
      </c>
      <c r="B466" s="51" t="e">
        <f t="shared" si="27"/>
        <v>#REF!</v>
      </c>
      <c r="C466" s="42" t="e">
        <f t="shared" si="27"/>
        <v>#REF!</v>
      </c>
      <c r="D466" s="42" t="e">
        <f t="shared" si="27"/>
        <v>#REF!</v>
      </c>
      <c r="E466" s="42" t="e">
        <f t="shared" si="27"/>
        <v>#REF!</v>
      </c>
      <c r="F466" s="42" t="e">
        <f t="shared" si="27"/>
        <v>#REF!</v>
      </c>
      <c r="G466" s="68" t="e">
        <f t="shared" si="27"/>
        <v>#REF!</v>
      </c>
      <c r="H466" s="51" t="e">
        <f t="shared" si="3"/>
        <v>#REF!</v>
      </c>
      <c r="I466" s="54"/>
      <c r="J466" s="55" t="e">
        <f t="shared" si="4"/>
        <v>#REF!</v>
      </c>
      <c r="K466" s="55"/>
    </row>
    <row r="467" spans="1:11" ht="12.75" x14ac:dyDescent="0.2">
      <c r="A467" s="51" t="e">
        <f t="shared" ref="A467:G467" si="28">#REF!</f>
        <v>#REF!</v>
      </c>
      <c r="B467" s="51" t="e">
        <f t="shared" si="28"/>
        <v>#REF!</v>
      </c>
      <c r="C467" s="42" t="e">
        <f t="shared" si="28"/>
        <v>#REF!</v>
      </c>
      <c r="D467" s="42" t="e">
        <f t="shared" si="28"/>
        <v>#REF!</v>
      </c>
      <c r="E467" s="42" t="e">
        <f t="shared" si="28"/>
        <v>#REF!</v>
      </c>
      <c r="F467" s="42" t="e">
        <f t="shared" si="28"/>
        <v>#REF!</v>
      </c>
      <c r="G467" s="68" t="e">
        <f t="shared" si="28"/>
        <v>#REF!</v>
      </c>
      <c r="H467" s="51" t="e">
        <f t="shared" si="3"/>
        <v>#REF!</v>
      </c>
      <c r="I467" s="54"/>
      <c r="J467" s="55" t="e">
        <f t="shared" si="4"/>
        <v>#REF!</v>
      </c>
      <c r="K467" s="55"/>
    </row>
    <row r="468" spans="1:11" ht="12.75" x14ac:dyDescent="0.2">
      <c r="A468" s="51" t="e">
        <f t="shared" ref="A468:G468" si="29">#REF!</f>
        <v>#REF!</v>
      </c>
      <c r="B468" s="51" t="e">
        <f t="shared" si="29"/>
        <v>#REF!</v>
      </c>
      <c r="C468" s="42" t="e">
        <f t="shared" si="29"/>
        <v>#REF!</v>
      </c>
      <c r="D468" s="42" t="e">
        <f t="shared" si="29"/>
        <v>#REF!</v>
      </c>
      <c r="E468" s="42" t="e">
        <f t="shared" si="29"/>
        <v>#REF!</v>
      </c>
      <c r="F468" s="42" t="e">
        <f t="shared" si="29"/>
        <v>#REF!</v>
      </c>
      <c r="G468" s="68" t="e">
        <f t="shared" si="29"/>
        <v>#REF!</v>
      </c>
      <c r="H468" s="51" t="e">
        <f t="shared" si="3"/>
        <v>#REF!</v>
      </c>
      <c r="I468" s="54"/>
      <c r="J468" s="55" t="e">
        <f t="shared" si="4"/>
        <v>#REF!</v>
      </c>
      <c r="K468" s="55"/>
    </row>
    <row r="469" spans="1:11" ht="12.75" x14ac:dyDescent="0.2">
      <c r="A469" s="51" t="e">
        <f t="shared" ref="A469:G469" si="30">#REF!</f>
        <v>#REF!</v>
      </c>
      <c r="B469" s="51" t="e">
        <f t="shared" si="30"/>
        <v>#REF!</v>
      </c>
      <c r="C469" s="42" t="e">
        <f t="shared" si="30"/>
        <v>#REF!</v>
      </c>
      <c r="D469" s="42" t="e">
        <f t="shared" si="30"/>
        <v>#REF!</v>
      </c>
      <c r="E469" s="42" t="e">
        <f t="shared" si="30"/>
        <v>#REF!</v>
      </c>
      <c r="F469" s="42" t="e">
        <f t="shared" si="30"/>
        <v>#REF!</v>
      </c>
      <c r="G469" s="68" t="e">
        <f t="shared" si="30"/>
        <v>#REF!</v>
      </c>
      <c r="H469" s="51" t="e">
        <f t="shared" si="3"/>
        <v>#REF!</v>
      </c>
      <c r="I469" s="54"/>
      <c r="J469" s="55" t="e">
        <f t="shared" si="4"/>
        <v>#REF!</v>
      </c>
      <c r="K469" s="55"/>
    </row>
    <row r="470" spans="1:11" ht="12.75" x14ac:dyDescent="0.2">
      <c r="C470" s="42"/>
      <c r="D470" s="42"/>
      <c r="E470" s="42"/>
      <c r="F470" s="42"/>
      <c r="G470" s="68"/>
      <c r="J470" s="55"/>
      <c r="K470" s="55"/>
    </row>
    <row r="471" spans="1:11" ht="12.75" x14ac:dyDescent="0.2">
      <c r="C471" s="42"/>
      <c r="D471" s="42"/>
      <c r="E471" s="42"/>
      <c r="F471" s="42"/>
      <c r="G471" s="68"/>
      <c r="J471" s="55"/>
      <c r="K471" s="55"/>
    </row>
    <row r="472" spans="1:11" ht="12.75" x14ac:dyDescent="0.2">
      <c r="C472" s="42"/>
      <c r="D472" s="42"/>
      <c r="E472" s="42"/>
      <c r="F472" s="42"/>
      <c r="G472" s="68"/>
      <c r="I472" s="47" t="s">
        <v>22</v>
      </c>
      <c r="J472" s="50" t="e">
        <f ca="1">SUM(J179:J465)</f>
        <v>#REF!</v>
      </c>
      <c r="K472" s="50"/>
    </row>
    <row r="473" spans="1:11" ht="12.75" x14ac:dyDescent="0.2">
      <c r="C473" s="42"/>
      <c r="D473" s="42"/>
      <c r="E473" s="42"/>
      <c r="F473" s="42"/>
      <c r="G473" s="68"/>
      <c r="I473" s="47" t="s">
        <v>23</v>
      </c>
      <c r="J473" s="50" t="e">
        <f ca="1">J472+J177</f>
        <v>#REF!</v>
      </c>
      <c r="K473" s="50"/>
    </row>
  </sheetData>
  <autoFilter ref="A7:K473" xr:uid="{00000000-0009-0000-0000-000002000000}">
    <filterColumn colId="1">
      <filters blank="1">
        <filter val="#REF!"/>
        <filter val="Allegheny Serviceberry"/>
        <filter val="Almond - Hall's Hardy"/>
        <filter val="American Hophornbeam"/>
        <filter val="American Hornbeam"/>
        <filter val="American Linden"/>
        <filter val="American Plum"/>
        <filter val="American Sentry Linden"/>
        <filter val="American Sycamore"/>
        <filter val="Ann Magnolia"/>
        <filter val="Appalachian Red Redbud"/>
        <filter val="Apple - 3in1 3-Tier Espalier (Honeycrisp-Akane-Liberty)"/>
        <filter val="Apple - 6in1 3-Tier Espalier (Fuji-Gala-Liberty-Honeycrisp-Granny Smith-Yellow Delicious)"/>
        <filter val="Apple - Ambrosia"/>
        <filter val="Apple - Arkansas Black"/>
        <filter val="Apple - Baldwin"/>
        <filter val="Apple - Cortland"/>
        <filter val="Apple - Crimson Crisp"/>
        <filter val="Apple - Crown Empire"/>
        <filter val="Apple - Enterprise"/>
        <filter val="Apple - Freedom"/>
        <filter val="Apple - Fuji"/>
        <filter val="Apple - Gala"/>
        <filter val="Apple - Galarina"/>
        <filter val="Apple - Gold Rush"/>
        <filter val="Apple - Granny Smith"/>
        <filter val="Apple - Honeycrisp"/>
        <filter val="Apple - Initial"/>
        <filter val="Apple - Liberty"/>
        <filter val="Apple - Macoun"/>
        <filter val="Apple - McIntosh"/>
        <filter val="Apple - Nova Spy"/>
        <filter val="Apple - Pink Lady"/>
        <filter val="Apple - Querina"/>
        <filter val="Apple - Red Cameo"/>
        <filter val="Apple - Red Delicious"/>
        <filter val="Apple - RubyRush"/>
        <filter val="Apple - Spur Winter Banana"/>
        <filter val="Apple - Winesap"/>
        <filter val="Apple - Wolf River"/>
        <filter val="Apricot - Moorpark"/>
        <filter val="Armstrong Red Maple"/>
        <filter val="Arrowwood Viburnum"/>
        <filter val="Ashe's Magnolia"/>
        <filter val="Asian Pear - Hosui"/>
        <filter val="Asian Pear - Kosui"/>
        <filter val="Asian Pear - Olympic"/>
        <filter val="Asian Pear - Shinko"/>
        <filter val="Autumn Blaze Maple"/>
        <filter val="Autumn Brilliance Serviceberry"/>
        <filter val="Autumn Gold Ginkgo"/>
        <filter val="Autumnalis Cherry"/>
        <filter val="Bald Cypress"/>
        <filter val="Bigleaf Magnolia"/>
        <filter val="Black Cherry"/>
        <filter val="Black Gum"/>
        <filter val="Black Tulip Magnolia"/>
        <filter val="Blackberry - Arapaho"/>
        <filter val="Blackberry - Navajo"/>
        <filter val="Blackberry - Ouachita"/>
        <filter val="Blackberry - Prime-ark 'Freedom'"/>
        <filter val="Bloodgood Japanese Maple"/>
        <filter val="Bottlebrush Buckeye"/>
        <filter val="Boxelder Maple"/>
        <filter val="Bur Oak"/>
        <filter val="Buttonbush"/>
        <filter val="Canada Red Select Cherry"/>
        <filter val="Carolina Silverbell"/>
        <filter val="Celestial Dogwood"/>
        <filter val="Cherokee Brave Dogwood"/>
        <filter val="Cherry (Sour) - Montmorency"/>
        <filter val="Chestnut - Chinese"/>
        <filter val="Chokecherry"/>
        <filter val="Clump Heritage River Birch"/>
        <filter val="Cold Hardy Mimosa"/>
        <filter val="Common Name"/>
        <filter val="Constellation Dogwood"/>
        <filter val="Cranberry Viburnum"/>
        <filter val="Crimson King Norway Maple"/>
        <filter val="Dawn Redwood"/>
        <filter val="Diane Witch Hazel"/>
        <filter val="Double Pink Weeping Cherry"/>
        <filter val="Eastern Redbud"/>
        <filter val="Eastern White Pine"/>
        <filter val="Elderberry"/>
        <filter val="Elderberry - Pocahontas"/>
        <filter val="Elderberry - York"/>
        <filter val="Emperor I Japanese Maple"/>
        <filter val="Exclamation London Plane Tree"/>
        <filter val="Fall Fiesta Sugar Maple"/>
        <filter val="Fig - Black Mission"/>
        <filter val="Fig - Brown Turkey"/>
        <filter val="Fig - Celeste"/>
        <filter val="Fig - Chicago Hardy"/>
        <filter val="Fig - Fignomenal"/>
        <filter val="Fig - Italian Honey"/>
        <filter val="Fig - Olympian"/>
        <filter val="Forest Pansy Redbud"/>
        <filter val="Ft. McNair Horsechestnut"/>
        <filter val="Galaxy Magnolia"/>
        <filter val="Goji Berry"/>
        <filter val="Gooseberry - Hinnomaki Red"/>
        <filter val="Gooseberry - Invicta Green"/>
        <filter val="Gordlinia"/>
        <filter val="Grape - Concord"/>
        <filter val="Grape - Mars (Seedless)"/>
        <filter val="Grape - Reliance Red (Seedless)"/>
        <filter val="Grape- Himrod (Seedless)"/>
        <filter val="Gray Birch"/>
        <filter val="Gray Dogwood"/>
        <filter val="Green Giant Arborvitae"/>
        <filter val="Green Mountain Sugar Maple"/>
        <filter val="Green Vase Zelkova"/>
        <filter val="Hackberry"/>
        <filter val="Happidaze Sweetgum"/>
        <filter val="Harvest Gold Linden"/>
        <filter val="Hazelnut - Jefferson"/>
        <filter val="Hazelnut - McDonald"/>
        <filter val="Hazelnut - Wepster"/>
        <filter val="Hearts of Gold Redbud"/>
        <filter val="Hedge Maple"/>
        <filter val="Heritage River Birch"/>
        <filter val="Hot Wings Maple"/>
        <filter val="Jane Magnolia"/>
        <filter val="Japanese Stewartia"/>
        <filter val="Jujube - GA 866"/>
        <filter val="Jujube - Honey Jar"/>
        <filter val="Jujube - Lang"/>
        <filter val="Jujube - Li"/>
        <filter val="Jujube - Sugar Cane"/>
        <filter val="Katsura"/>
        <filter val="Kentucky Coffeetree"/>
        <filter val="Kentucky Coffeetree (Cultivar)"/>
        <filter val="Kousa Dogwood"/>
        <filter val="Kwanzan Cherry"/>
        <filter val="Lamarckii Serviceberry"/>
        <filter val="Laurel Oak"/>
        <filter val="Lavender Twist Redbud"/>
        <filter val="Lindsey's Skyward Bald Cypress"/>
        <filter val="Littleleaf Linden"/>
        <filter val="Magyar Ginkgo"/>
        <filter val="Moonglow Magnolia"/>
        <filter val="Mt Fuji Cherry"/>
        <filter val="Mt. Airy Fothergilla"/>
        <filter val="Mulberry - Red"/>
        <filter val="Nectarine - Flavortop"/>
        <filter val="Nectarine - Independence"/>
        <filter val="Nectarine - Redgold"/>
        <filter val="Nectarine (White) - Arctic Glo"/>
        <filter val="Nectarine (White) - Arctic Sweet"/>
        <filter val="Niobe Golden Willow"/>
        <filter val="Nishiki Dappled Willow"/>
        <filter val="Northern Catalpa"/>
        <filter val="Norway Spruce"/>
        <filter val="Okame Cherry"/>
        <filter val="Overcup Oak"/>
        <filter val="Pagoda Dogwood"/>
        <filter val="Paperbark Maple"/>
        <filter val="Pawpaw - NC-1"/>
        <filter val="Peach - Contender"/>
        <filter val="Peach - Cresthaven"/>
        <filter val="Peach - Elberta"/>
        <filter val="Peach - Harvester"/>
        <filter val="Peach - Redhaven"/>
        <filter val="Peach - Redskin"/>
        <filter val="Peach - Sugar May"/>
        <filter val="Peach (Donut White) - Galaxy"/>
        <filter val="Peach (Donut White) - Saturn"/>
        <filter val="Peach (White) - Giant Babcock"/>
        <filter val="Peach (White) - Snow Giant"/>
        <filter val="Peach (White) - Sugar Giant"/>
        <filter val="Peach (White) - White Lady"/>
        <filter val="Pear - Ayers"/>
        <filter val="Pear - Bartlett"/>
        <filter val="Pear - Golden Russet Bosc"/>
        <filter val="Pear - Harrowsweet"/>
        <filter val="Pear - Kieffer"/>
        <filter val="Pear - Moonglow"/>
        <filter val="Pear - Potomac"/>
        <filter val="Perkins Pink Yellowwood"/>
        <filter val="Persian Parrotia"/>
        <filter val="Persimmon - Fuyu"/>
        <filter val="Persimmon - Giant Fuyu"/>
        <filter val="Persimmon - Hachiya"/>
        <filter val="Persimmon - Lotus"/>
        <filter val="Persimmon - Rosseyanka"/>
        <filter val="Pin Oak"/>
        <filter val="Plum - Green Gage"/>
        <filter val="Plum - NY9"/>
        <filter val="Plum - Santa Rosa"/>
        <filter val="Plum - Stanley (Prune)"/>
        <filter val="Post Oak"/>
        <filter val="Prairie Cascade Willow"/>
        <filter val="Prairifire Crabapple"/>
        <filter val="Princeton Elm"/>
        <filter val="Princeton Sentry Ginkgo"/>
        <filter val="Purple Lilac"/>
        <filter val="Purple Robe Black Locust"/>
        <filter val="Quaking Aspen"/>
        <filter val="Raspberry - Heritage (Red)"/>
        <filter val="Raspberry - Nantahala"/>
        <filter val="Raspberry - Royalty (Purple)"/>
        <filter val="Raspberry (Yellow) - Anne"/>
        <filter val="Red Chokeberry"/>
        <filter val="Red Maple Cultivar"/>
        <filter val="Red Maple Native"/>
        <filter val="Red Oak"/>
        <filter val="Red Twig Dogwood"/>
        <filter val="Regal Prince Oak"/>
        <filter val="Royal Purple Smokebush"/>
        <filter val="Ruby Falls Redbud"/>
        <filter val="Ruby Slippers Oakleaf Hydrangea"/>
        <filter val="Sassafras"/>
        <filter val="Scarlet Fire Dogwood"/>
        <filter val="Shademaster Honeylocust"/>
        <filter val="Shawnee Brave Bald Cypress"/>
        <filter val="Shingle Oak"/>
        <filter val="Silky Dogwood"/>
        <filter val="Silver King Sweet Gum"/>
        <filter val="Silver Linden"/>
        <filter val="Silver Maple"/>
        <filter val="Silver Variegated Norway Maple"/>
        <filter val="Skyline Honeylocust"/>
        <filter val="Smokebush (Native)"/>
        <filter val="Smooth Sumac"/>
        <filter val="Snow Fountains Weeping Cherry"/>
        <filter val="Snow Queen Oakleaf Hydrangea"/>
        <filter val="Sourwood"/>
        <filter val="Southern Catalpa"/>
        <filter val="Spartan Juniper"/>
        <filter val="Spicebush"/>
        <filter val="Staghorn Sumac"/>
        <filter val="Stellar Pink Dogwood"/>
        <filter val="Stone Fruits - Misshapen/Damaged Trees (Discounted)"/>
        <filter val="Strawberry Bush"/>
        <filter val="Sugar Tyme Crabapple"/>
        <filter val="Sugarberry"/>
        <filter val="Swamp White Oak"/>
        <filter val="Sweet Bay Magnolia"/>
        <filter val="Sweet Gum"/>
        <filter val="Tamukeyama Japanese Maple"/>
        <filter val="Thundercloud Plum"/>
        <filter val="Tulip Poplar"/>
        <filter val="Umbrella Magnolia"/>
        <filter val="Valley Forge Elm"/>
        <filter val="Village Green Zelkova"/>
        <filter val="Walnut - Mesa Carpathian"/>
        <filter val="Weeping Willow"/>
        <filter val="White Dogwood"/>
        <filter val="White Oak"/>
        <filter val="Whitebud"/>
        <filter val="Willow Oak"/>
        <filter val="Windover Gold Ginkgo"/>
        <filter val="Winter King Hawthorn"/>
        <filter val="Winter Red Winterberry Holly"/>
        <filter val="Witch Hazel"/>
        <filter val="Worplesdon Sweetgum"/>
        <filter val="Yellow Bird Magnolia"/>
        <filter val="Yellowwood"/>
        <filter val="Yoshino Cherry"/>
        <filter val="Yoshino Cryptomeria"/>
        <filter val="zx - 1.5&quot;x1.5&quot;x6' Stakes"/>
        <filter val="zx - 10' Orchard Ladder (extendable leg)"/>
        <filter val="zx - 10' Orchard Ladder (fixed)"/>
        <filter val="zx - 14' Orchard Ladder (extendable)"/>
        <filter val="zx - 16' Orchard Ladder (fixed)"/>
        <filter val="zx - 4' Bark Protector"/>
        <filter val="zx - 6' Orchard Ladder (extendable leg)"/>
        <filter val="zx - 8' Orchard Ladder (extendable leg)"/>
        <filter val="zx - Felco #2 Pruners"/>
        <filter val="zx - Tree Diaper (for #10-#25)"/>
        <filter val="zx -Cages"/>
        <filter val="zx -Shade Tarp"/>
      </filters>
    </filterColumn>
  </autoFilter>
  <customSheetViews>
    <customSheetView guid="{CACE497B-0C50-48E1-A33F-8BC29C370049}" filter="1" showAutoFilter="1">
      <pageMargins left="0.7" right="0.7" top="0.75" bottom="0.75" header="0.3" footer="0.3"/>
      <autoFilter ref="F3:F473" xr:uid="{F484AFB7-2EA7-4722-A413-5F591A8038C6}">
        <filterColumn colId="0">
          <filters blank="1">
            <filter val="#REF!"/>
            <filter val="1"/>
            <filter val="1. Pick Up     2. Delivery    3. Delivery &amp; Planting"/>
            <filter val="10"/>
            <filter val="100"/>
            <filter val="103"/>
            <filter val="104"/>
            <filter val="109"/>
            <filter val="11"/>
            <filter val="112"/>
            <filter val="114"/>
            <filter val="116"/>
            <filter val="118"/>
            <filter val="119"/>
            <filter val="12"/>
            <filter val="120"/>
            <filter val="121"/>
            <filter val="123"/>
            <filter val="125"/>
            <filter val="128"/>
            <filter val="13"/>
            <filter val="130"/>
            <filter val="132"/>
            <filter val="138"/>
            <filter val="139"/>
            <filter val="14"/>
            <filter val="141"/>
            <filter val="143"/>
            <filter val="15"/>
            <filter val="151"/>
            <filter val="16"/>
            <filter val="161"/>
            <filter val="162"/>
            <filter val="163"/>
            <filter val="165"/>
            <filter val="17"/>
            <filter val="171"/>
            <filter val="172"/>
            <filter val="178"/>
            <filter val="18"/>
            <filter val="182"/>
            <filter val="187"/>
            <filter val="19"/>
            <filter val="194"/>
            <filter val="195"/>
            <filter val="196"/>
            <filter val="2"/>
            <filter val="2,408"/>
            <filter val="20"/>
            <filter val="203"/>
            <filter val="204"/>
            <filter val="209"/>
            <filter val="21"/>
            <filter val="212"/>
            <filter val="22"/>
            <filter val="222"/>
            <filter val="228"/>
            <filter val="23"/>
            <filter val="24"/>
            <filter val="244"/>
            <filter val="25"/>
            <filter val="256"/>
            <filter val="26"/>
            <filter val="27"/>
            <filter val="273"/>
            <filter val="28"/>
            <filter val="29"/>
            <filter val="3"/>
            <filter val="30"/>
            <filter val="31"/>
            <filter val="311"/>
            <filter val="313"/>
            <filter val="32"/>
            <filter val="324"/>
            <filter val="33"/>
            <filter val="34"/>
            <filter val="341"/>
            <filter val="35"/>
            <filter val="36"/>
            <filter val="37"/>
            <filter val="38"/>
            <filter val="39"/>
            <filter val="4"/>
            <filter val="40"/>
            <filter val="41"/>
            <filter val="42"/>
            <filter val="43"/>
            <filter val="44"/>
            <filter val="46"/>
            <filter val="48"/>
            <filter val="49"/>
            <filter val="5"/>
            <filter val="50"/>
            <filter val="51"/>
            <filter val="52"/>
            <filter val="53"/>
            <filter val="54"/>
            <filter val="55"/>
            <filter val="56"/>
            <filter val="58"/>
            <filter val="59"/>
            <filter val="6"/>
            <filter val="60"/>
            <filter val="62"/>
            <filter val="63"/>
            <filter val="64"/>
            <filter val="66"/>
            <filter val="67"/>
            <filter val="68"/>
            <filter val="7"/>
            <filter val="70"/>
            <filter val="72"/>
            <filter val="73"/>
            <filter val="745"/>
            <filter val="75"/>
            <filter val="8"/>
            <filter val="80"/>
            <filter val="81"/>
            <filter val="84"/>
            <filter val="86"/>
            <filter val="88"/>
            <filter val="9"/>
            <filter val="91"/>
            <filter val="92"/>
            <filter val="93"/>
            <filter val="934"/>
            <filter val="94"/>
            <filter val="99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266"/>
  <sheetViews>
    <sheetView workbookViewId="0"/>
  </sheetViews>
  <sheetFormatPr defaultColWidth="12.5703125" defaultRowHeight="15.75" customHeight="1" x14ac:dyDescent="0.2"/>
  <cols>
    <col min="1" max="1" width="26.140625" customWidth="1"/>
    <col min="2" max="2" width="12.5703125" hidden="1"/>
    <col min="3" max="3" width="24.42578125" customWidth="1"/>
    <col min="4" max="4" width="6.42578125" customWidth="1"/>
    <col min="5" max="6" width="7.85546875" customWidth="1"/>
    <col min="7" max="7" width="7.42578125" customWidth="1"/>
    <col min="8" max="8" width="5.5703125" customWidth="1"/>
    <col min="9" max="9" width="8.28515625" hidden="1" customWidth="1"/>
    <col min="10" max="26" width="12.5703125" hidden="1"/>
  </cols>
  <sheetData>
    <row r="1" spans="1:26" ht="15.75" customHeight="1" x14ac:dyDescent="0.4">
      <c r="A1" s="71" t="str">
        <f ca="1">IFERROR(__xludf.DUMMYFUNCTION("IMPORTRANGE(""https://docs.google.com/spreadsheets/d/1PuBz5VSpjToQCy4UoR27pP26bScW83---4BhrGcSt8w/edit?usp=sharing"", ""Landscape Trees!A1:z100000"")"),"Latin Name")</f>
        <v>Latin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IFERROR(__xludf.DUMMYFUNCTION("""COMPUTED_VALUE"""),"Common Name")</f>
        <v>Common Name</v>
      </c>
      <c r="D1" s="61" t="str">
        <f ca="1">IFERROR(__xludf.DUMMYFUNCTION("""COMPUTED_VALUE"""),"Pot Size")</f>
        <v>Pot Size</v>
      </c>
      <c r="E1" s="61" t="str">
        <f ca="1">IFERROR(__xludf.DUMMYFUNCTION("""COMPUTED_VALUE"""),"Caliper ")</f>
        <v xml:space="preserve">Caliper </v>
      </c>
      <c r="F1" s="61" t="str">
        <f ca="1">IFERROR(__xludf.DUMMYFUNCTION("""COMPUTED_VALUE"""),"Height ")</f>
        <v xml:space="preserve">Height </v>
      </c>
      <c r="G1" s="61" t="str">
        <f ca="1">IFERROR(__xludf.DUMMYFUNCTION("""COMPUTED_VALUE"""),"Quantity ")</f>
        <v xml:space="preserve">Quantity </v>
      </c>
      <c r="H1" s="61" t="str">
        <f ca="1">IFERROR(__xludf.DUMMYFUNCTION("""COMPUTED_VALUE"""),"Price")</f>
        <v>Price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x14ac:dyDescent="0.2">
      <c r="A2" s="61" t="str">
        <f ca="1">IFERROR(__xludf.DUMMYFUNCTION("""COMPUTED_VALUE"""),"Acer campestre")</f>
        <v>Acer campestre</v>
      </c>
      <c r="B2" s="61">
        <f ca="1">IFERROR(__xludf.DUMMYFUNCTION("""COMPUTED_VALUE"""),15)</f>
        <v>15</v>
      </c>
      <c r="C2" s="61" t="str">
        <f ca="1">IFERROR(__xludf.DUMMYFUNCTION("""COMPUTED_VALUE"""),"Hedge Maple")</f>
        <v>Hedge Maple</v>
      </c>
      <c r="D2" s="61" t="str">
        <f ca="1">IFERROR(__xludf.DUMMYFUNCTION("""COMPUTED_VALUE"""),"#15")</f>
        <v>#15</v>
      </c>
      <c r="E2" s="61" t="str">
        <f ca="1">IFERROR(__xludf.DUMMYFUNCTION("""COMPUTED_VALUE"""),"0.75-2""")</f>
        <v>0.75-2"</v>
      </c>
      <c r="F2" s="61" t="str">
        <f ca="1">IFERROR(__xludf.DUMMYFUNCTION("""COMPUTED_VALUE"""),"8-14'")</f>
        <v>8-14'</v>
      </c>
      <c r="G2" s="62">
        <f ca="1">IFERROR(__xludf.DUMMYFUNCTION("""COMPUTED_VALUE"""),11)</f>
        <v>11</v>
      </c>
      <c r="H2" s="63">
        <f ca="1">IFERROR(__xludf.DUMMYFUNCTION("""COMPUTED_VALUE"""),135)</f>
        <v>135</v>
      </c>
      <c r="I2" s="61"/>
      <c r="J2" s="61">
        <f ca="1">IFERROR(__xludf.DUMMYFUNCTION("""COMPUTED_VALUE"""),12265)</f>
        <v>12265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x14ac:dyDescent="0.2">
      <c r="A3" s="61" t="str">
        <f ca="1">IFERROR(__xludf.DUMMYFUNCTION("""COMPUTED_VALUE"""),"Acer griseum")</f>
        <v>Acer griseum</v>
      </c>
      <c r="B3" s="61">
        <f ca="1">IFERROR(__xludf.DUMMYFUNCTION("""COMPUTED_VALUE"""),5)</f>
        <v>5</v>
      </c>
      <c r="C3" s="61" t="str">
        <f ca="1">IFERROR(__xludf.DUMMYFUNCTION("""COMPUTED_VALUE"""),"Paperbark Maple")</f>
        <v>Paperbark Maple</v>
      </c>
      <c r="D3" s="61" t="str">
        <f ca="1">IFERROR(__xludf.DUMMYFUNCTION("""COMPUTED_VALUE"""),"#5")</f>
        <v>#5</v>
      </c>
      <c r="E3" s="61" t="str">
        <f ca="1">IFERROR(__xludf.DUMMYFUNCTION("""COMPUTED_VALUE"""),"0.5-1""")</f>
        <v>0.5-1"</v>
      </c>
      <c r="F3" s="61" t="str">
        <f ca="1">IFERROR(__xludf.DUMMYFUNCTION("""COMPUTED_VALUE"""),"4.5-6'")</f>
        <v>4.5-6'</v>
      </c>
      <c r="G3" s="62">
        <f ca="1">IFERROR(__xludf.DUMMYFUNCTION("""COMPUTED_VALUE"""),17)</f>
        <v>17</v>
      </c>
      <c r="H3" s="63">
        <f ca="1">IFERROR(__xludf.DUMMYFUNCTION("""COMPUTED_VALUE"""),70)</f>
        <v>70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x14ac:dyDescent="0.2">
      <c r="A4" s="61" t="str">
        <f ca="1">IFERROR(__xludf.DUMMYFUNCTION("""COMPUTED_VALUE"""),"Acer griseum")</f>
        <v>Acer griseum</v>
      </c>
      <c r="B4" s="61">
        <f ca="1">IFERROR(__xludf.DUMMYFUNCTION("""COMPUTED_VALUE"""),15)</f>
        <v>15</v>
      </c>
      <c r="C4" s="61" t="str">
        <f ca="1">IFERROR(__xludf.DUMMYFUNCTION("""COMPUTED_VALUE"""),"Paperbark Maple")</f>
        <v>Paperbark Maple</v>
      </c>
      <c r="D4" s="61" t="str">
        <f ca="1">IFERROR(__xludf.DUMMYFUNCTION("""COMPUTED_VALUE"""),"#15")</f>
        <v>#15</v>
      </c>
      <c r="E4" s="61" t="str">
        <f ca="1">IFERROR(__xludf.DUMMYFUNCTION("""COMPUTED_VALUE"""),"1-1.5""")</f>
        <v>1-1.5"</v>
      </c>
      <c r="F4" s="61" t="str">
        <f ca="1">IFERROR(__xludf.DUMMYFUNCTION("""COMPUTED_VALUE"""),"7.5-10'")</f>
        <v>7.5-10'</v>
      </c>
      <c r="G4" s="62">
        <f ca="1">IFERROR(__xludf.DUMMYFUNCTION("""COMPUTED_VALUE"""),5)</f>
        <v>5</v>
      </c>
      <c r="H4" s="63">
        <f ca="1">IFERROR(__xludf.DUMMYFUNCTION("""COMPUTED_VALUE"""),180)</f>
        <v>180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x14ac:dyDescent="0.2">
      <c r="A5" s="61" t="str">
        <f ca="1">IFERROR(__xludf.DUMMYFUNCTION("""COMPUTED_VALUE"""),"Acer negundo")</f>
        <v>Acer negundo</v>
      </c>
      <c r="B5" s="61">
        <f ca="1">IFERROR(__xludf.DUMMYFUNCTION("""COMPUTED_VALUE"""),7)</f>
        <v>7</v>
      </c>
      <c r="C5" s="61" t="str">
        <f ca="1">IFERROR(__xludf.DUMMYFUNCTION("""COMPUTED_VALUE"""),"Boxelder Maple")</f>
        <v>Boxelder Maple</v>
      </c>
      <c r="D5" s="61" t="str">
        <f ca="1">IFERROR(__xludf.DUMMYFUNCTION("""COMPUTED_VALUE"""),"#7")</f>
        <v>#7</v>
      </c>
      <c r="E5" s="61" t="str">
        <f ca="1">IFERROR(__xludf.DUMMYFUNCTION("""COMPUTED_VALUE"""),"0.5-1.5""")</f>
        <v>0.5-1.5"</v>
      </c>
      <c r="F5" s="61" t="str">
        <f ca="1">IFERROR(__xludf.DUMMYFUNCTION("""COMPUTED_VALUE"""),"2-9'")</f>
        <v>2-9'</v>
      </c>
      <c r="G5" s="62">
        <f ca="1">IFERROR(__xludf.DUMMYFUNCTION("""COMPUTED_VALUE"""),30)</f>
        <v>30</v>
      </c>
      <c r="H5" s="63">
        <f ca="1">IFERROR(__xludf.DUMMYFUNCTION("""COMPUTED_VALUE"""),50)</f>
        <v>50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x14ac:dyDescent="0.2">
      <c r="A6" s="61" t="str">
        <f ca="1">IFERROR(__xludf.DUMMYFUNCTION("""COMPUTED_VALUE"""),"Acer palmatum 'Bloodgood'")</f>
        <v>Acer palmatum 'Bloodgood'</v>
      </c>
      <c r="B6" s="61">
        <f ca="1">IFERROR(__xludf.DUMMYFUNCTION("""COMPUTED_VALUE"""),5)</f>
        <v>5</v>
      </c>
      <c r="C6" s="61" t="str">
        <f ca="1">IFERROR(__xludf.DUMMYFUNCTION("""COMPUTED_VALUE"""),"Bloodgood Japanese Maple")</f>
        <v>Bloodgood Japanese Maple</v>
      </c>
      <c r="D6" s="61" t="str">
        <f ca="1">IFERROR(__xludf.DUMMYFUNCTION("""COMPUTED_VALUE"""),"#5")</f>
        <v>#5</v>
      </c>
      <c r="E6" s="61" t="str">
        <f ca="1">IFERROR(__xludf.DUMMYFUNCTION("""COMPUTED_VALUE"""),"0.75-1""")</f>
        <v>0.75-1"</v>
      </c>
      <c r="F6" s="61" t="str">
        <f ca="1">IFERROR(__xludf.DUMMYFUNCTION("""COMPUTED_VALUE"""),"4-6'")</f>
        <v>4-6'</v>
      </c>
      <c r="G6" s="62">
        <f ca="1">IFERROR(__xludf.DUMMYFUNCTION("""COMPUTED_VALUE"""),9)</f>
        <v>9</v>
      </c>
      <c r="H6" s="63">
        <f ca="1">IFERROR(__xludf.DUMMYFUNCTION("""COMPUTED_VALUE"""),70)</f>
        <v>70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x14ac:dyDescent="0.2">
      <c r="A7" s="61" t="str">
        <f ca="1">IFERROR(__xludf.DUMMYFUNCTION("""COMPUTED_VALUE"""),"Acer palmatum 'Emperor I'")</f>
        <v>Acer palmatum 'Emperor I'</v>
      </c>
      <c r="B7" s="61">
        <f ca="1">IFERROR(__xludf.DUMMYFUNCTION("""COMPUTED_VALUE"""),5)</f>
        <v>5</v>
      </c>
      <c r="C7" s="61" t="str">
        <f ca="1">IFERROR(__xludf.DUMMYFUNCTION("""COMPUTED_VALUE"""),"Emperor I Japanese Maple")</f>
        <v>Emperor I Japanese Maple</v>
      </c>
      <c r="D7" s="61" t="str">
        <f ca="1">IFERROR(__xludf.DUMMYFUNCTION("""COMPUTED_VALUE"""),"#5")</f>
        <v>#5</v>
      </c>
      <c r="E7" s="61" t="str">
        <f ca="1">IFERROR(__xludf.DUMMYFUNCTION("""COMPUTED_VALUE"""),"0.5-1""")</f>
        <v>0.5-1"</v>
      </c>
      <c r="F7" s="61" t="str">
        <f ca="1">IFERROR(__xludf.DUMMYFUNCTION("""COMPUTED_VALUE"""),"5-6'")</f>
        <v>5-6'</v>
      </c>
      <c r="G7" s="62">
        <f ca="1">IFERROR(__xludf.DUMMYFUNCTION("""COMPUTED_VALUE"""),22)</f>
        <v>22</v>
      </c>
      <c r="H7" s="63">
        <f ca="1">IFERROR(__xludf.DUMMYFUNCTION("""COMPUTED_VALUE"""),70)</f>
        <v>70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x14ac:dyDescent="0.2">
      <c r="A8" s="61" t="str">
        <f ca="1">IFERROR(__xludf.DUMMYFUNCTION("""COMPUTED_VALUE"""),"Acer palmatum 'Tamukeyama'")</f>
        <v>Acer palmatum 'Tamukeyama'</v>
      </c>
      <c r="B8" s="61">
        <f ca="1">IFERROR(__xludf.DUMMYFUNCTION("""COMPUTED_VALUE"""),5)</f>
        <v>5</v>
      </c>
      <c r="C8" s="61" t="str">
        <f ca="1">IFERROR(__xludf.DUMMYFUNCTION("""COMPUTED_VALUE"""),"Tamukeyama Japanese Maple")</f>
        <v>Tamukeyama Japanese Maple</v>
      </c>
      <c r="D8" s="61" t="str">
        <f ca="1">IFERROR(__xludf.DUMMYFUNCTION("""COMPUTED_VALUE"""),"#5")</f>
        <v>#5</v>
      </c>
      <c r="E8" s="61" t="str">
        <f ca="1">IFERROR(__xludf.DUMMYFUNCTION("""COMPUTED_VALUE"""),"0.25-1""")</f>
        <v>0.25-1"</v>
      </c>
      <c r="F8" s="61" t="str">
        <f ca="1">IFERROR(__xludf.DUMMYFUNCTION("""COMPUTED_VALUE"""),"2.5-5'")</f>
        <v>2.5-5'</v>
      </c>
      <c r="G8" s="62">
        <f ca="1">IFERROR(__xludf.DUMMYFUNCTION("""COMPUTED_VALUE"""),30)</f>
        <v>30</v>
      </c>
      <c r="H8" s="63">
        <f ca="1">IFERROR(__xludf.DUMMYFUNCTION("""COMPUTED_VALUE"""),70)</f>
        <v>70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x14ac:dyDescent="0.2">
      <c r="A9" s="61" t="str">
        <f ca="1">IFERROR(__xludf.DUMMYFUNCTION("""COMPUTED_VALUE"""),"Acer platanoides 'Crimson King'")</f>
        <v>Acer platanoides 'Crimson King'</v>
      </c>
      <c r="B9" s="61">
        <f ca="1">IFERROR(__xludf.DUMMYFUNCTION("""COMPUTED_VALUE"""),15)</f>
        <v>15</v>
      </c>
      <c r="C9" s="61" t="str">
        <f ca="1">IFERROR(__xludf.DUMMYFUNCTION("""COMPUTED_VALUE"""),"Crimson King Norway Maple")</f>
        <v>Crimson King Norway Maple</v>
      </c>
      <c r="D9" s="61" t="str">
        <f ca="1">IFERROR(__xludf.DUMMYFUNCTION("""COMPUTED_VALUE"""),"#15")</f>
        <v>#15</v>
      </c>
      <c r="E9" s="61" t="str">
        <f ca="1">IFERROR(__xludf.DUMMYFUNCTION("""COMPUTED_VALUE"""),"1.25-2""")</f>
        <v>1.25-2"</v>
      </c>
      <c r="F9" s="61" t="str">
        <f ca="1">IFERROR(__xludf.DUMMYFUNCTION("""COMPUTED_VALUE"""),"10-14'")</f>
        <v>10-14'</v>
      </c>
      <c r="G9" s="62">
        <f ca="1">IFERROR(__xludf.DUMMYFUNCTION("""COMPUTED_VALUE"""),18)</f>
        <v>18</v>
      </c>
      <c r="H9" s="63">
        <f ca="1">IFERROR(__xludf.DUMMYFUNCTION("""COMPUTED_VALUE"""),135)</f>
        <v>135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x14ac:dyDescent="0.2">
      <c r="A10" s="61" t="str">
        <f ca="1">IFERROR(__xludf.DUMMYFUNCTION("""COMPUTED_VALUE"""),"Acer platanoides 'Silver Variegated'")</f>
        <v>Acer platanoides 'Silver Variegated'</v>
      </c>
      <c r="B10" s="61">
        <f ca="1">IFERROR(__xludf.DUMMYFUNCTION("""COMPUTED_VALUE"""),15)</f>
        <v>15</v>
      </c>
      <c r="C10" s="61" t="str">
        <f ca="1">IFERROR(__xludf.DUMMYFUNCTION("""COMPUTED_VALUE"""),"Silver Variegated Norway Maple")</f>
        <v>Silver Variegated Norway Maple</v>
      </c>
      <c r="D10" s="61" t="str">
        <f ca="1">IFERROR(__xludf.DUMMYFUNCTION("""COMPUTED_VALUE"""),"#15")</f>
        <v>#15</v>
      </c>
      <c r="E10" s="61" t="str">
        <f ca="1">IFERROR(__xludf.DUMMYFUNCTION("""COMPUTED_VALUE"""),"0.75-1.25""")</f>
        <v>0.75-1.25"</v>
      </c>
      <c r="F10" s="61" t="str">
        <f ca="1">IFERROR(__xludf.DUMMYFUNCTION("""COMPUTED_VALUE"""),"8-10'")</f>
        <v>8-10'</v>
      </c>
      <c r="G10" s="62">
        <f ca="1">IFERROR(__xludf.DUMMYFUNCTION("""COMPUTED_VALUE"""),10)</f>
        <v>10</v>
      </c>
      <c r="H10" s="63">
        <f ca="1">IFERROR(__xludf.DUMMYFUNCTION("""COMPUTED_VALUE"""),135)</f>
        <v>135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x14ac:dyDescent="0.2">
      <c r="A11" s="61" t="str">
        <f ca="1">IFERROR(__xludf.DUMMYFUNCTION("""COMPUTED_VALUE"""),"Acer rubrum")</f>
        <v>Acer rubrum</v>
      </c>
      <c r="B11" s="61">
        <f ca="1">IFERROR(__xludf.DUMMYFUNCTION("""COMPUTED_VALUE"""),5)</f>
        <v>5</v>
      </c>
      <c r="C11" s="61" t="str">
        <f ca="1">IFERROR(__xludf.DUMMYFUNCTION("""COMPUTED_VALUE"""),"Red Maple Native")</f>
        <v>Red Maple Native</v>
      </c>
      <c r="D11" s="61" t="str">
        <f ca="1">IFERROR(__xludf.DUMMYFUNCTION("""COMPUTED_VALUE"""),"#5")</f>
        <v>#5</v>
      </c>
      <c r="E11" s="61" t="str">
        <f ca="1">IFERROR(__xludf.DUMMYFUNCTION("""COMPUTED_VALUE"""),"0.5-1.5""")</f>
        <v>0.5-1.5"</v>
      </c>
      <c r="F11" s="61" t="str">
        <f ca="1">IFERROR(__xludf.DUMMYFUNCTION("""COMPUTED_VALUE"""),"3-10'")</f>
        <v>3-10'</v>
      </c>
      <c r="G11" s="62">
        <f ca="1">IFERROR(__xludf.DUMMYFUNCTION("""COMPUTED_VALUE"""),256)</f>
        <v>256</v>
      </c>
      <c r="H11" s="63">
        <f ca="1">IFERROR(__xludf.DUMMYFUNCTION("""COMPUTED_VALUE"""),50)</f>
        <v>50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x14ac:dyDescent="0.2">
      <c r="A12" s="61" t="str">
        <f ca="1">IFERROR(__xludf.DUMMYFUNCTION("""COMPUTED_VALUE"""),"Acer rubrum")</f>
        <v>Acer rubrum</v>
      </c>
      <c r="B12" s="61">
        <f ca="1">IFERROR(__xludf.DUMMYFUNCTION("""COMPUTED_VALUE"""),15)</f>
        <v>15</v>
      </c>
      <c r="C12" s="61" t="str">
        <f ca="1">IFERROR(__xludf.DUMMYFUNCTION("""COMPUTED_VALUE"""),"Red Maple Cultivar")</f>
        <v>Red Maple Cultivar</v>
      </c>
      <c r="D12" s="61" t="str">
        <f ca="1">IFERROR(__xludf.DUMMYFUNCTION("""COMPUTED_VALUE"""),"#15")</f>
        <v>#15</v>
      </c>
      <c r="E12" s="61" t="str">
        <f ca="1">IFERROR(__xludf.DUMMYFUNCTION("""COMPUTED_VALUE"""),"1-1.75""")</f>
        <v>1-1.75"</v>
      </c>
      <c r="F12" s="61" t="str">
        <f ca="1">IFERROR(__xludf.DUMMYFUNCTION("""COMPUTED_VALUE"""),"9-12'")</f>
        <v>9-12'</v>
      </c>
      <c r="G12" s="62">
        <f ca="1">IFERROR(__xludf.DUMMYFUNCTION("""COMPUTED_VALUE"""),42)</f>
        <v>42</v>
      </c>
      <c r="H12" s="63">
        <f ca="1">IFERROR(__xludf.DUMMYFUNCTION("""COMPUTED_VALUE"""),135)</f>
        <v>135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x14ac:dyDescent="0.2">
      <c r="A13" s="61" t="str">
        <f ca="1">IFERROR(__xludf.DUMMYFUNCTION("""COMPUTED_VALUE"""),"Acer rubrum ")</f>
        <v xml:space="preserve">Acer rubrum </v>
      </c>
      <c r="B13" s="61">
        <f ca="1">IFERROR(__xludf.DUMMYFUNCTION("""COMPUTED_VALUE"""),5)</f>
        <v>5</v>
      </c>
      <c r="C13" s="61" t="str">
        <f ca="1">IFERROR(__xludf.DUMMYFUNCTION("""COMPUTED_VALUE"""),"Red Maple Cultivar")</f>
        <v>Red Maple Cultivar</v>
      </c>
      <c r="D13" s="61" t="str">
        <f ca="1">IFERROR(__xludf.DUMMYFUNCTION("""COMPUTED_VALUE"""),"#5")</f>
        <v>#5</v>
      </c>
      <c r="E13" s="61" t="str">
        <f ca="1">IFERROR(__xludf.DUMMYFUNCTION("""COMPUTED_VALUE"""),"0.75-1""")</f>
        <v>0.75-1"</v>
      </c>
      <c r="F13" s="61" t="str">
        <f ca="1">IFERROR(__xludf.DUMMYFUNCTION("""COMPUTED_VALUE"""),"6-7'")</f>
        <v>6-7'</v>
      </c>
      <c r="G13" s="62">
        <f ca="1">IFERROR(__xludf.DUMMYFUNCTION("""COMPUTED_VALUE"""),49)</f>
        <v>49</v>
      </c>
      <c r="H13" s="63">
        <f ca="1">IFERROR(__xludf.DUMMYFUNCTION("""COMPUTED_VALUE"""),50)</f>
        <v>50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x14ac:dyDescent="0.2">
      <c r="A14" s="61" t="str">
        <f ca="1">IFERROR(__xludf.DUMMYFUNCTION("""COMPUTED_VALUE"""),"Acer rubrum 'Armstrong'")</f>
        <v>Acer rubrum 'Armstrong'</v>
      </c>
      <c r="B14" s="61">
        <f ca="1">IFERROR(__xludf.DUMMYFUNCTION("""COMPUTED_VALUE"""),15)</f>
        <v>15</v>
      </c>
      <c r="C14" s="61" t="str">
        <f ca="1">IFERROR(__xludf.DUMMYFUNCTION("""COMPUTED_VALUE"""),"Armstrong Red Maple")</f>
        <v>Armstrong Red Maple</v>
      </c>
      <c r="D14" s="61" t="str">
        <f ca="1">IFERROR(__xludf.DUMMYFUNCTION("""COMPUTED_VALUE"""),"#15")</f>
        <v>#15</v>
      </c>
      <c r="E14" s="61" t="str">
        <f ca="1">IFERROR(__xludf.DUMMYFUNCTION("""COMPUTED_VALUE"""),"1.75-1.75""")</f>
        <v>1.75-1.75"</v>
      </c>
      <c r="F14" s="61" t="str">
        <f ca="1">IFERROR(__xludf.DUMMYFUNCTION("""COMPUTED_VALUE"""),"14-14'")</f>
        <v>14-14'</v>
      </c>
      <c r="G14" s="62">
        <f ca="1">IFERROR(__xludf.DUMMYFUNCTION("""COMPUTED_VALUE"""),1)</f>
        <v>1</v>
      </c>
      <c r="H14" s="63">
        <f ca="1">IFERROR(__xludf.DUMMYFUNCTION("""COMPUTED_VALUE"""),135)</f>
        <v>135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x14ac:dyDescent="0.2">
      <c r="A15" s="61" t="str">
        <f ca="1">IFERROR(__xludf.DUMMYFUNCTION("""COMPUTED_VALUE"""),"Acer rubrum 'Armstrong'")</f>
        <v>Acer rubrum 'Armstrong'</v>
      </c>
      <c r="B15" s="61" t="str">
        <f ca="1">IFERROR(__xludf.DUMMYFUNCTION("""COMPUTED_VALUE"""),"10")</f>
        <v>10</v>
      </c>
      <c r="C15" s="61" t="str">
        <f ca="1">IFERROR(__xludf.DUMMYFUNCTION("""COMPUTED_VALUE"""),"Armstrong Red Maple")</f>
        <v>Armstrong Red Maple</v>
      </c>
      <c r="D15" s="61" t="str">
        <f ca="1">IFERROR(__xludf.DUMMYFUNCTION("""COMPUTED_VALUE"""),"#10")</f>
        <v>#10</v>
      </c>
      <c r="E15" s="61" t="str">
        <f ca="1">IFERROR(__xludf.DUMMYFUNCTION("""COMPUTED_VALUE"""),"0.75-1""")</f>
        <v>0.75-1"</v>
      </c>
      <c r="F15" s="61" t="str">
        <f ca="1">IFERROR(__xludf.DUMMYFUNCTION("""COMPUTED_VALUE"""),"6-8'")</f>
        <v>6-8'</v>
      </c>
      <c r="G15" s="62">
        <f ca="1">IFERROR(__xludf.DUMMYFUNCTION("""COMPUTED_VALUE"""),5)</f>
        <v>5</v>
      </c>
      <c r="H15" s="63">
        <f ca="1">IFERROR(__xludf.DUMMYFUNCTION("""COMPUTED_VALUE"""),100)</f>
        <v>100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x14ac:dyDescent="0.2">
      <c r="A16" s="61" t="str">
        <f ca="1">IFERROR(__xludf.DUMMYFUNCTION("""COMPUTED_VALUE"""),"Acer rubrum 'Armstrong'")</f>
        <v>Acer rubrum 'Armstrong'</v>
      </c>
      <c r="B16" s="61" t="str">
        <f ca="1">IFERROR(__xludf.DUMMYFUNCTION("""COMPUTED_VALUE"""),"5")</f>
        <v>5</v>
      </c>
      <c r="C16" s="61" t="str">
        <f ca="1">IFERROR(__xludf.DUMMYFUNCTION("""COMPUTED_VALUE"""),"Armstrong Red Maple")</f>
        <v>Armstrong Red Maple</v>
      </c>
      <c r="D16" s="61" t="str">
        <f ca="1">IFERROR(__xludf.DUMMYFUNCTION("""COMPUTED_VALUE"""),"#5")</f>
        <v>#5</v>
      </c>
      <c r="E16" s="61" t="str">
        <f ca="1">IFERROR(__xludf.DUMMYFUNCTION("""COMPUTED_VALUE"""),"0.5-1""")</f>
        <v>0.5-1"</v>
      </c>
      <c r="F16" s="61" t="str">
        <f ca="1">IFERROR(__xludf.DUMMYFUNCTION("""COMPUTED_VALUE"""),"3-6'")</f>
        <v>3-6'</v>
      </c>
      <c r="G16" s="62">
        <f ca="1">IFERROR(__xludf.DUMMYFUNCTION("""COMPUTED_VALUE"""),24)</f>
        <v>24</v>
      </c>
      <c r="H16" s="63">
        <f ca="1">IFERROR(__xludf.DUMMYFUNCTION("""COMPUTED_VALUE"""),50)</f>
        <v>50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x14ac:dyDescent="0.2">
      <c r="A17" s="61" t="str">
        <f ca="1">IFERROR(__xludf.DUMMYFUNCTION("""COMPUTED_VALUE"""),"Acer saccharinum")</f>
        <v>Acer saccharinum</v>
      </c>
      <c r="B17" s="61">
        <f ca="1">IFERROR(__xludf.DUMMYFUNCTION("""COMPUTED_VALUE"""),5)</f>
        <v>5</v>
      </c>
      <c r="C17" s="61" t="str">
        <f ca="1">IFERROR(__xludf.DUMMYFUNCTION("""COMPUTED_VALUE"""),"Silver Maple")</f>
        <v>Silver Maple</v>
      </c>
      <c r="D17" s="61" t="str">
        <f ca="1">IFERROR(__xludf.DUMMYFUNCTION("""COMPUTED_VALUE"""),"#5")</f>
        <v>#5</v>
      </c>
      <c r="E17" s="61" t="str">
        <f ca="1">IFERROR(__xludf.DUMMYFUNCTION("""COMPUTED_VALUE"""),"0.75-1.5""")</f>
        <v>0.75-1.5"</v>
      </c>
      <c r="F17" s="61" t="str">
        <f ca="1">IFERROR(__xludf.DUMMYFUNCTION("""COMPUTED_VALUE"""),"6-13'")</f>
        <v>6-13'</v>
      </c>
      <c r="G17" s="62">
        <f ca="1">IFERROR(__xludf.DUMMYFUNCTION("""COMPUTED_VALUE"""),7)</f>
        <v>7</v>
      </c>
      <c r="H17" s="63">
        <f ca="1">IFERROR(__xludf.DUMMYFUNCTION("""COMPUTED_VALUE"""),50)</f>
        <v>50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x14ac:dyDescent="0.2">
      <c r="A18" s="61" t="str">
        <f ca="1">IFERROR(__xludf.DUMMYFUNCTION("""COMPUTED_VALUE"""),"Acer saccharum 'Bailsta'")</f>
        <v>Acer saccharum 'Bailsta'</v>
      </c>
      <c r="B18" s="61">
        <f ca="1">IFERROR(__xludf.DUMMYFUNCTION("""COMPUTED_VALUE"""),15)</f>
        <v>15</v>
      </c>
      <c r="C18" s="61" t="str">
        <f ca="1">IFERROR(__xludf.DUMMYFUNCTION("""COMPUTED_VALUE"""),"Fall Fiesta Sugar Maple")</f>
        <v>Fall Fiesta Sugar Maple</v>
      </c>
      <c r="D18" s="61" t="str">
        <f ca="1">IFERROR(__xludf.DUMMYFUNCTION("""COMPUTED_VALUE"""),"#15")</f>
        <v>#15</v>
      </c>
      <c r="E18" s="61" t="str">
        <f ca="1">IFERROR(__xludf.DUMMYFUNCTION("""COMPUTED_VALUE"""),"1.25-2""")</f>
        <v>1.25-2"</v>
      </c>
      <c r="F18" s="61" t="str">
        <f ca="1">IFERROR(__xludf.DUMMYFUNCTION("""COMPUTED_VALUE"""),"8-13'")</f>
        <v>8-13'</v>
      </c>
      <c r="G18" s="62">
        <f ca="1">IFERROR(__xludf.DUMMYFUNCTION("""COMPUTED_VALUE"""),12)</f>
        <v>12</v>
      </c>
      <c r="H18" s="63">
        <f ca="1">IFERROR(__xludf.DUMMYFUNCTION("""COMPUTED_VALUE"""),135)</f>
        <v>135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x14ac:dyDescent="0.2">
      <c r="A19" s="61" t="str">
        <f ca="1">IFERROR(__xludf.DUMMYFUNCTION("""COMPUTED_VALUE"""),"Acer saccharum 'Bailsta'")</f>
        <v>Acer saccharum 'Bailsta'</v>
      </c>
      <c r="B19" s="61">
        <f ca="1">IFERROR(__xludf.DUMMYFUNCTION("""COMPUTED_VALUE"""),25)</f>
        <v>25</v>
      </c>
      <c r="C19" s="61" t="str">
        <f ca="1">IFERROR(__xludf.DUMMYFUNCTION("""COMPUTED_VALUE"""),"Fall Fiesta Sugar Maple")</f>
        <v>Fall Fiesta Sugar Maple</v>
      </c>
      <c r="D19" s="61" t="str">
        <f ca="1">IFERROR(__xludf.DUMMYFUNCTION("""COMPUTED_VALUE"""),"#25")</f>
        <v>#25</v>
      </c>
      <c r="E19" s="61" t="str">
        <f ca="1">IFERROR(__xludf.DUMMYFUNCTION("""COMPUTED_VALUE"""),"1.5-2""")</f>
        <v>1.5-2"</v>
      </c>
      <c r="F19" s="61" t="str">
        <f ca="1">IFERROR(__xludf.DUMMYFUNCTION("""COMPUTED_VALUE"""),"10-15'")</f>
        <v>10-15'</v>
      </c>
      <c r="G19" s="62">
        <f ca="1">IFERROR(__xludf.DUMMYFUNCTION("""COMPUTED_VALUE"""),15)</f>
        <v>15</v>
      </c>
      <c r="H19" s="63">
        <f ca="1">IFERROR(__xludf.DUMMYFUNCTION("""COMPUTED_VALUE"""),150)</f>
        <v>150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x14ac:dyDescent="0.2">
      <c r="A20" s="61" t="str">
        <f ca="1">IFERROR(__xludf.DUMMYFUNCTION("""COMPUTED_VALUE"""),"Acer saccharum 'Green Mountain'")</f>
        <v>Acer saccharum 'Green Mountain'</v>
      </c>
      <c r="B20" s="61">
        <f ca="1">IFERROR(__xludf.DUMMYFUNCTION("""COMPUTED_VALUE"""),15)</f>
        <v>15</v>
      </c>
      <c r="C20" s="61" t="str">
        <f ca="1">IFERROR(__xludf.DUMMYFUNCTION("""COMPUTED_VALUE"""),"Green Mountain Sugar Maple")</f>
        <v>Green Mountain Sugar Maple</v>
      </c>
      <c r="D20" s="61" t="str">
        <f ca="1">IFERROR(__xludf.DUMMYFUNCTION("""COMPUTED_VALUE"""),"#15")</f>
        <v>#15</v>
      </c>
      <c r="E20" s="61" t="str">
        <f ca="1">IFERROR(__xludf.DUMMYFUNCTION("""COMPUTED_VALUE"""),"1.25-1.5""")</f>
        <v>1.25-1.5"</v>
      </c>
      <c r="F20" s="61" t="str">
        <f ca="1">IFERROR(__xludf.DUMMYFUNCTION("""COMPUTED_VALUE"""),"10-14'")</f>
        <v>10-14'</v>
      </c>
      <c r="G20" s="62">
        <f ca="1">IFERROR(__xludf.DUMMYFUNCTION("""COMPUTED_VALUE"""),6)</f>
        <v>6</v>
      </c>
      <c r="H20" s="63">
        <f ca="1">IFERROR(__xludf.DUMMYFUNCTION("""COMPUTED_VALUE"""),135)</f>
        <v>135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x14ac:dyDescent="0.2">
      <c r="A21" s="61" t="str">
        <f ca="1">IFERROR(__xludf.DUMMYFUNCTION("""COMPUTED_VALUE"""),"Acer tataricum 'Hot Wings'")</f>
        <v>Acer tataricum 'Hot Wings'</v>
      </c>
      <c r="B21" s="61">
        <f ca="1">IFERROR(__xludf.DUMMYFUNCTION("""COMPUTED_VALUE"""),15)</f>
        <v>15</v>
      </c>
      <c r="C21" s="61" t="str">
        <f ca="1">IFERROR(__xludf.DUMMYFUNCTION("""COMPUTED_VALUE"""),"Hot Wings Maple")</f>
        <v>Hot Wings Maple</v>
      </c>
      <c r="D21" s="61" t="str">
        <f ca="1">IFERROR(__xludf.DUMMYFUNCTION("""COMPUTED_VALUE"""),"#15")</f>
        <v>#15</v>
      </c>
      <c r="E21" s="61" t="str">
        <f ca="1">IFERROR(__xludf.DUMMYFUNCTION("""COMPUTED_VALUE"""),"1-1.75""")</f>
        <v>1-1.75"</v>
      </c>
      <c r="F21" s="61" t="str">
        <f ca="1">IFERROR(__xludf.DUMMYFUNCTION("""COMPUTED_VALUE"""),"9-13'")</f>
        <v>9-13'</v>
      </c>
      <c r="G21" s="62">
        <f ca="1">IFERROR(__xludf.DUMMYFUNCTION("""COMPUTED_VALUE"""),13)</f>
        <v>13</v>
      </c>
      <c r="H21" s="63">
        <f ca="1">IFERROR(__xludf.DUMMYFUNCTION("""COMPUTED_VALUE"""),135)</f>
        <v>135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x14ac:dyDescent="0.2">
      <c r="A22" s="61" t="str">
        <f ca="1">IFERROR(__xludf.DUMMYFUNCTION("""COMPUTED_VALUE"""),"Acer x freemanii")</f>
        <v>Acer x freemanii</v>
      </c>
      <c r="B22" s="61">
        <f ca="1">IFERROR(__xludf.DUMMYFUNCTION("""COMPUTED_VALUE"""),5)</f>
        <v>5</v>
      </c>
      <c r="C22" s="61" t="str">
        <f ca="1">IFERROR(__xludf.DUMMYFUNCTION("""COMPUTED_VALUE"""),"Autumn Blaze Maple")</f>
        <v>Autumn Blaze Maple</v>
      </c>
      <c r="D22" s="61" t="str">
        <f ca="1">IFERROR(__xludf.DUMMYFUNCTION("""COMPUTED_VALUE"""),"#5")</f>
        <v>#5</v>
      </c>
      <c r="E22" s="61" t="str">
        <f ca="1">IFERROR(__xludf.DUMMYFUNCTION("""COMPUTED_VALUE"""),"1-1.25""")</f>
        <v>1-1.25"</v>
      </c>
      <c r="F22" s="61" t="str">
        <f ca="1">IFERROR(__xludf.DUMMYFUNCTION("""COMPUTED_VALUE"""),"7-9'")</f>
        <v>7-9'</v>
      </c>
      <c r="G22" s="62">
        <f ca="1">IFERROR(__xludf.DUMMYFUNCTION("""COMPUTED_VALUE"""),21)</f>
        <v>21</v>
      </c>
      <c r="H22" s="63">
        <f ca="1">IFERROR(__xludf.DUMMYFUNCTION("""COMPUTED_VALUE"""),50)</f>
        <v>50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x14ac:dyDescent="0.2">
      <c r="A23" s="61" t="str">
        <f ca="1">IFERROR(__xludf.DUMMYFUNCTION("""COMPUTED_VALUE"""),"Acer x freemanii")</f>
        <v>Acer x freemanii</v>
      </c>
      <c r="B23" s="61">
        <f ca="1">IFERROR(__xludf.DUMMYFUNCTION("""COMPUTED_VALUE"""),10)</f>
        <v>10</v>
      </c>
      <c r="C23" s="61" t="str">
        <f ca="1">IFERROR(__xludf.DUMMYFUNCTION("""COMPUTED_VALUE"""),"Autumn Blaze Maple")</f>
        <v>Autumn Blaze Maple</v>
      </c>
      <c r="D23" s="61" t="str">
        <f ca="1">IFERROR(__xludf.DUMMYFUNCTION("""COMPUTED_VALUE"""),"#10")</f>
        <v>#10</v>
      </c>
      <c r="E23" s="61" t="str">
        <f ca="1">IFERROR(__xludf.DUMMYFUNCTION("""COMPUTED_VALUE"""),"0.75-1""")</f>
        <v>0.75-1"</v>
      </c>
      <c r="F23" s="61" t="str">
        <f ca="1">IFERROR(__xludf.DUMMYFUNCTION("""COMPUTED_VALUE"""),"8-9'")</f>
        <v>8-9'</v>
      </c>
      <c r="G23" s="62">
        <f ca="1">IFERROR(__xludf.DUMMYFUNCTION("""COMPUTED_VALUE"""),1)</f>
        <v>1</v>
      </c>
      <c r="H23" s="63">
        <f ca="1">IFERROR(__xludf.DUMMYFUNCTION("""COMPUTED_VALUE"""),100)</f>
        <v>100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x14ac:dyDescent="0.2">
      <c r="A24" s="61" t="str">
        <f ca="1">IFERROR(__xludf.DUMMYFUNCTION("""COMPUTED_VALUE"""),"Aesculus carnea 'Ft. McNair'")</f>
        <v>Aesculus carnea 'Ft. McNair'</v>
      </c>
      <c r="B24" s="61">
        <f ca="1">IFERROR(__xludf.DUMMYFUNCTION("""COMPUTED_VALUE"""),15)</f>
        <v>15</v>
      </c>
      <c r="C24" s="61" t="str">
        <f ca="1">IFERROR(__xludf.DUMMYFUNCTION("""COMPUTED_VALUE"""),"Ft. McNair Horsechestnut")</f>
        <v>Ft. McNair Horsechestnut</v>
      </c>
      <c r="D24" s="61" t="str">
        <f ca="1">IFERROR(__xludf.DUMMYFUNCTION("""COMPUTED_VALUE"""),"#15")</f>
        <v>#15</v>
      </c>
      <c r="E24" s="61" t="str">
        <f ca="1">IFERROR(__xludf.DUMMYFUNCTION("""COMPUTED_VALUE"""),"1-1.5""")</f>
        <v>1-1.5"</v>
      </c>
      <c r="F24" s="61" t="str">
        <f ca="1">IFERROR(__xludf.DUMMYFUNCTION("""COMPUTED_VALUE"""),"7-8'")</f>
        <v>7-8'</v>
      </c>
      <c r="G24" s="62">
        <f ca="1">IFERROR(__xludf.DUMMYFUNCTION("""COMPUTED_VALUE"""),2)</f>
        <v>2</v>
      </c>
      <c r="H24" s="63">
        <f ca="1">IFERROR(__xludf.DUMMYFUNCTION("""COMPUTED_VALUE"""),135)</f>
        <v>135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x14ac:dyDescent="0.2">
      <c r="A25" s="61" t="str">
        <f ca="1">IFERROR(__xludf.DUMMYFUNCTION("""COMPUTED_VALUE"""),"Aesculus parviflora")</f>
        <v>Aesculus parviflora</v>
      </c>
      <c r="B25" s="61">
        <f ca="1">IFERROR(__xludf.DUMMYFUNCTION("""COMPUTED_VALUE"""),5)</f>
        <v>5</v>
      </c>
      <c r="C25" s="61" t="str">
        <f ca="1">IFERROR(__xludf.DUMMYFUNCTION("""COMPUTED_VALUE"""),"Bottlebrush Buckeye")</f>
        <v>Bottlebrush Buckeye</v>
      </c>
      <c r="D25" s="61" t="str">
        <f ca="1">IFERROR(__xludf.DUMMYFUNCTION("""COMPUTED_VALUE"""),"#5")</f>
        <v>#5</v>
      </c>
      <c r="E25" s="61" t="str">
        <f ca="1">IFERROR(__xludf.DUMMYFUNCTION("""COMPUTED_VALUE"""),"Multi")</f>
        <v>Multi</v>
      </c>
      <c r="F25" s="61" t="str">
        <f ca="1">IFERROR(__xludf.DUMMYFUNCTION("""COMPUTED_VALUE"""),"2-4.5'")</f>
        <v>2-4.5'</v>
      </c>
      <c r="G25" s="62">
        <f ca="1">IFERROR(__xludf.DUMMYFUNCTION("""COMPUTED_VALUE"""),93)</f>
        <v>93</v>
      </c>
      <c r="H25" s="63">
        <f ca="1">IFERROR(__xludf.DUMMYFUNCTION("""COMPUTED_VALUE"""),50)</f>
        <v>50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x14ac:dyDescent="0.2">
      <c r="A26" s="61" t="str">
        <f ca="1">IFERROR(__xludf.DUMMYFUNCTION("""COMPUTED_VALUE"""),"Aesculus parviflora")</f>
        <v>Aesculus parviflora</v>
      </c>
      <c r="B26" s="61">
        <f ca="1">IFERROR(__xludf.DUMMYFUNCTION("""COMPUTED_VALUE"""),10)</f>
        <v>10</v>
      </c>
      <c r="C26" s="61" t="str">
        <f ca="1">IFERROR(__xludf.DUMMYFUNCTION("""COMPUTED_VALUE"""),"Bottlebrush Buckeye")</f>
        <v>Bottlebrush Buckeye</v>
      </c>
      <c r="D26" s="61" t="str">
        <f ca="1">IFERROR(__xludf.DUMMYFUNCTION("""COMPUTED_VALUE"""),"#10")</f>
        <v>#10</v>
      </c>
      <c r="E26" s="61" t="str">
        <f ca="1">IFERROR(__xludf.DUMMYFUNCTION("""COMPUTED_VALUE"""),"Multi")</f>
        <v>Multi</v>
      </c>
      <c r="F26" s="61" t="str">
        <f ca="1">IFERROR(__xludf.DUMMYFUNCTION("""COMPUTED_VALUE"""),"4.5-5.5'")</f>
        <v>4.5-5.5'</v>
      </c>
      <c r="G26" s="62">
        <f ca="1">IFERROR(__xludf.DUMMYFUNCTION("""COMPUTED_VALUE"""),17)</f>
        <v>17</v>
      </c>
      <c r="H26" s="63">
        <f ca="1">IFERROR(__xludf.DUMMYFUNCTION("""COMPUTED_VALUE"""),70)</f>
        <v>70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2.75" x14ac:dyDescent="0.2">
      <c r="A27" s="61" t="str">
        <f ca="1">IFERROR(__xludf.DUMMYFUNCTION("""COMPUTED_VALUE"""),"Albizia julibrissin 'E.H.Wilson'")</f>
        <v>Albizia julibrissin 'E.H.Wilson'</v>
      </c>
      <c r="B27" s="61">
        <f ca="1">IFERROR(__xludf.DUMMYFUNCTION("""COMPUTED_VALUE"""),5)</f>
        <v>5</v>
      </c>
      <c r="C27" s="61" t="str">
        <f ca="1">IFERROR(__xludf.DUMMYFUNCTION("""COMPUTED_VALUE"""),"Cold Hardy Mimosa")</f>
        <v>Cold Hardy Mimosa</v>
      </c>
      <c r="D27" s="61" t="str">
        <f ca="1">IFERROR(__xludf.DUMMYFUNCTION("""COMPUTED_VALUE"""),"#5")</f>
        <v>#5</v>
      </c>
      <c r="E27" s="61" t="str">
        <f ca="1">IFERROR(__xludf.DUMMYFUNCTION("""COMPUTED_VALUE"""),"1.25-1.25""")</f>
        <v>1.25-1.25"</v>
      </c>
      <c r="F27" s="61" t="str">
        <f ca="1">IFERROR(__xludf.DUMMYFUNCTION("""COMPUTED_VALUE"""),"6-8'")</f>
        <v>6-8'</v>
      </c>
      <c r="G27" s="62">
        <f ca="1">IFERROR(__xludf.DUMMYFUNCTION("""COMPUTED_VALUE"""),1)</f>
        <v>1</v>
      </c>
      <c r="H27" s="63">
        <f ca="1">IFERROR(__xludf.DUMMYFUNCTION("""COMPUTED_VALUE"""),50)</f>
        <v>50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2.75" x14ac:dyDescent="0.2">
      <c r="A28" s="61" t="str">
        <f ca="1">IFERROR(__xludf.DUMMYFUNCTION("""COMPUTED_VALUE"""),"Amelanchier grandiflora 'Autumn Brilliance'")</f>
        <v>Amelanchier grandiflora 'Autumn Brilliance'</v>
      </c>
      <c r="B28" s="61">
        <f ca="1">IFERROR(__xludf.DUMMYFUNCTION("""COMPUTED_VALUE"""),5)</f>
        <v>5</v>
      </c>
      <c r="C28" s="61" t="str">
        <f ca="1">IFERROR(__xludf.DUMMYFUNCTION("""COMPUTED_VALUE"""),"Autumn Brilliance Serviceberry")</f>
        <v>Autumn Brilliance Serviceberry</v>
      </c>
      <c r="D28" s="61" t="str">
        <f ca="1">IFERROR(__xludf.DUMMYFUNCTION("""COMPUTED_VALUE"""),"#5")</f>
        <v>#5</v>
      </c>
      <c r="E28" s="61" t="str">
        <f ca="1">IFERROR(__xludf.DUMMYFUNCTION("""COMPUTED_VALUE"""),"Multi")</f>
        <v>Multi</v>
      </c>
      <c r="F28" s="61" t="str">
        <f ca="1">IFERROR(__xludf.DUMMYFUNCTION("""COMPUTED_VALUE"""),"3-8'")</f>
        <v>3-8'</v>
      </c>
      <c r="G28" s="62">
        <f ca="1">IFERROR(__xludf.DUMMYFUNCTION("""COMPUTED_VALUE"""),81)</f>
        <v>81</v>
      </c>
      <c r="H28" s="63">
        <f ca="1">IFERROR(__xludf.DUMMYFUNCTION("""COMPUTED_VALUE"""),50)</f>
        <v>50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2.75" x14ac:dyDescent="0.2">
      <c r="A29" s="61" t="str">
        <f ca="1">IFERROR(__xludf.DUMMYFUNCTION("""COMPUTED_VALUE"""),"Amelanchier grandiflora 'Autumn Brilliance'")</f>
        <v>Amelanchier grandiflora 'Autumn Brilliance'</v>
      </c>
      <c r="B29" s="61">
        <f ca="1">IFERROR(__xludf.DUMMYFUNCTION("""COMPUTED_VALUE"""),10)</f>
        <v>10</v>
      </c>
      <c r="C29" s="61" t="str">
        <f ca="1">IFERROR(__xludf.DUMMYFUNCTION("""COMPUTED_VALUE"""),"Autumn Brilliance Serviceberry")</f>
        <v>Autumn Brilliance Serviceberry</v>
      </c>
      <c r="D29" s="61" t="str">
        <f ca="1">IFERROR(__xludf.DUMMYFUNCTION("""COMPUTED_VALUE"""),"#10")</f>
        <v>#10</v>
      </c>
      <c r="E29" s="61" t="str">
        <f ca="1">IFERROR(__xludf.DUMMYFUNCTION("""COMPUTED_VALUE"""),"Multi")</f>
        <v>Multi</v>
      </c>
      <c r="F29" s="61" t="str">
        <f ca="1">IFERROR(__xludf.DUMMYFUNCTION("""COMPUTED_VALUE"""),"7-9'")</f>
        <v>7-9'</v>
      </c>
      <c r="G29" s="62">
        <f ca="1">IFERROR(__xludf.DUMMYFUNCTION("""COMPUTED_VALUE"""),12)</f>
        <v>12</v>
      </c>
      <c r="H29" s="63">
        <f ca="1">IFERROR(__xludf.DUMMYFUNCTION("""COMPUTED_VALUE"""),100)</f>
        <v>100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2.75" x14ac:dyDescent="0.2">
      <c r="A30" s="61" t="str">
        <f ca="1">IFERROR(__xludf.DUMMYFUNCTION("""COMPUTED_VALUE"""),"Amelanchier laevis")</f>
        <v>Amelanchier laevis</v>
      </c>
      <c r="B30" s="61">
        <f ca="1">IFERROR(__xludf.DUMMYFUNCTION("""COMPUTED_VALUE"""),5)</f>
        <v>5</v>
      </c>
      <c r="C30" s="61" t="str">
        <f ca="1">IFERROR(__xludf.DUMMYFUNCTION("""COMPUTED_VALUE"""),"Allegheny Serviceberry")</f>
        <v>Allegheny Serviceberry</v>
      </c>
      <c r="D30" s="61" t="str">
        <f ca="1">IFERROR(__xludf.DUMMYFUNCTION("""COMPUTED_VALUE"""),"#5")</f>
        <v>#5</v>
      </c>
      <c r="E30" s="61" t="str">
        <f ca="1">IFERROR(__xludf.DUMMYFUNCTION("""COMPUTED_VALUE"""),"0.25-0.5""")</f>
        <v>0.25-0.5"</v>
      </c>
      <c r="F30" s="61" t="str">
        <f ca="1">IFERROR(__xludf.DUMMYFUNCTION("""COMPUTED_VALUE"""),"3-10'")</f>
        <v>3-10'</v>
      </c>
      <c r="G30" s="62">
        <f ca="1">IFERROR(__xludf.DUMMYFUNCTION("""COMPUTED_VALUE"""),40)</f>
        <v>40</v>
      </c>
      <c r="H30" s="63">
        <f ca="1">IFERROR(__xludf.DUMMYFUNCTION("""COMPUTED_VALUE"""),50)</f>
        <v>50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2.75" x14ac:dyDescent="0.2">
      <c r="A31" s="61" t="str">
        <f ca="1">IFERROR(__xludf.DUMMYFUNCTION("""COMPUTED_VALUE"""),"Amelanchier laevis")</f>
        <v>Amelanchier laevis</v>
      </c>
      <c r="B31" s="61">
        <f ca="1">IFERROR(__xludf.DUMMYFUNCTION("""COMPUTED_VALUE"""),5)</f>
        <v>5</v>
      </c>
      <c r="C31" s="61" t="str">
        <f ca="1">IFERROR(__xludf.DUMMYFUNCTION("""COMPUTED_VALUE"""),"Allegheny Serviceberry")</f>
        <v>Allegheny Serviceberry</v>
      </c>
      <c r="D31" s="61" t="str">
        <f ca="1">IFERROR(__xludf.DUMMYFUNCTION("""COMPUTED_VALUE"""),"#5")</f>
        <v>#5</v>
      </c>
      <c r="E31" s="61" t="str">
        <f ca="1">IFERROR(__xludf.DUMMYFUNCTION("""COMPUTED_VALUE"""),"Multi")</f>
        <v>Multi</v>
      </c>
      <c r="F31" s="61" t="str">
        <f ca="1">IFERROR(__xludf.DUMMYFUNCTION("""COMPUTED_VALUE"""),"3-10'")</f>
        <v>3-10'</v>
      </c>
      <c r="G31" s="62">
        <f ca="1">IFERROR(__xludf.DUMMYFUNCTION("""COMPUTED_VALUE"""),165)</f>
        <v>165</v>
      </c>
      <c r="H31" s="63">
        <f ca="1">IFERROR(__xludf.DUMMYFUNCTION("""COMPUTED_VALUE"""),50)</f>
        <v>50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12.75" x14ac:dyDescent="0.2">
      <c r="A32" s="61" t="str">
        <f ca="1">IFERROR(__xludf.DUMMYFUNCTION("""COMPUTED_VALUE"""),"Amelanchier lamarckii")</f>
        <v>Amelanchier lamarckii</v>
      </c>
      <c r="B32" s="61">
        <f ca="1">IFERROR(__xludf.DUMMYFUNCTION("""COMPUTED_VALUE"""),5)</f>
        <v>5</v>
      </c>
      <c r="C32" s="61" t="str">
        <f ca="1">IFERROR(__xludf.DUMMYFUNCTION("""COMPUTED_VALUE"""),"Lamarckii Serviceberry")</f>
        <v>Lamarckii Serviceberry</v>
      </c>
      <c r="D32" s="61" t="str">
        <f ca="1">IFERROR(__xludf.DUMMYFUNCTION("""COMPUTED_VALUE"""),"#5")</f>
        <v>#5</v>
      </c>
      <c r="E32" s="61" t="str">
        <f ca="1">IFERROR(__xludf.DUMMYFUNCTION("""COMPUTED_VALUE"""),"Multi")</f>
        <v>Multi</v>
      </c>
      <c r="F32" s="61" t="str">
        <f ca="1">IFERROR(__xludf.DUMMYFUNCTION("""COMPUTED_VALUE"""),"4-10'")</f>
        <v>4-10'</v>
      </c>
      <c r="G32" s="62">
        <f ca="1">IFERROR(__xludf.DUMMYFUNCTION("""COMPUTED_VALUE"""),3)</f>
        <v>3</v>
      </c>
      <c r="H32" s="63">
        <f ca="1">IFERROR(__xludf.DUMMYFUNCTION("""COMPUTED_VALUE"""),50)</f>
        <v>50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12.75" x14ac:dyDescent="0.2">
      <c r="A33" s="61" t="str">
        <f ca="1">IFERROR(__xludf.DUMMYFUNCTION("""COMPUTED_VALUE"""),"Aronia arbutifolia")</f>
        <v>Aronia arbutifolia</v>
      </c>
      <c r="B33" s="61">
        <f ca="1">IFERROR(__xludf.DUMMYFUNCTION("""COMPUTED_VALUE"""),5)</f>
        <v>5</v>
      </c>
      <c r="C33" s="61" t="str">
        <f ca="1">IFERROR(__xludf.DUMMYFUNCTION("""COMPUTED_VALUE"""),"Red Chokeberry")</f>
        <v>Red Chokeberry</v>
      </c>
      <c r="D33" s="61" t="str">
        <f ca="1">IFERROR(__xludf.DUMMYFUNCTION("""COMPUTED_VALUE"""),"#5")</f>
        <v>#5</v>
      </c>
      <c r="E33" s="61" t="str">
        <f ca="1">IFERROR(__xludf.DUMMYFUNCTION("""COMPUTED_VALUE"""),"Multi")</f>
        <v>Multi</v>
      </c>
      <c r="F33" s="61" t="str">
        <f ca="1">IFERROR(__xludf.DUMMYFUNCTION("""COMPUTED_VALUE"""),"4-5.5'")</f>
        <v>4-5.5'</v>
      </c>
      <c r="G33" s="62">
        <f ca="1">IFERROR(__xludf.DUMMYFUNCTION("""COMPUTED_VALUE"""),9)</f>
        <v>9</v>
      </c>
      <c r="H33" s="63">
        <f ca="1">IFERROR(__xludf.DUMMYFUNCTION("""COMPUTED_VALUE"""),37)</f>
        <v>37</v>
      </c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12.75" x14ac:dyDescent="0.2">
      <c r="A34" s="61" t="str">
        <f ca="1">IFERROR(__xludf.DUMMYFUNCTION("""COMPUTED_VALUE"""),"Aronia melanocarpa")</f>
        <v>Aronia melanocarpa</v>
      </c>
      <c r="B34" s="61">
        <f ca="1">IFERROR(__xludf.DUMMYFUNCTION("""COMPUTED_VALUE"""),5)</f>
        <v>5</v>
      </c>
      <c r="C34" s="61" t="str">
        <f ca="1">IFERROR(__xludf.DUMMYFUNCTION("""COMPUTED_VALUE"""),"Black Chokeberry")</f>
        <v>Black Chokeberry</v>
      </c>
      <c r="D34" s="61" t="str">
        <f ca="1">IFERROR(__xludf.DUMMYFUNCTION("""COMPUTED_VALUE"""),"#5")</f>
        <v>#5</v>
      </c>
      <c r="E34" s="61" t="str">
        <f ca="1">IFERROR(__xludf.DUMMYFUNCTION("""COMPUTED_VALUE"""),"Multi")</f>
        <v>Multi</v>
      </c>
      <c r="F34" s="61" t="str">
        <f ca="1">IFERROR(__xludf.DUMMYFUNCTION("""COMPUTED_VALUE"""),"2.5-3'")</f>
        <v>2.5-3'</v>
      </c>
      <c r="G34" s="62">
        <f ca="1">IFERROR(__xludf.DUMMYFUNCTION("""COMPUTED_VALUE"""),14)</f>
        <v>14</v>
      </c>
      <c r="H34" s="63">
        <f ca="1">IFERROR(__xludf.DUMMYFUNCTION("""COMPUTED_VALUE"""),37)</f>
        <v>37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2.75" x14ac:dyDescent="0.2">
      <c r="A35" s="61" t="str">
        <f ca="1">IFERROR(__xludf.DUMMYFUNCTION("""COMPUTED_VALUE"""),"Asimina triloba")</f>
        <v>Asimina triloba</v>
      </c>
      <c r="B35" s="61">
        <f ca="1">IFERROR(__xludf.DUMMYFUNCTION("""COMPUTED_VALUE"""),5)</f>
        <v>5</v>
      </c>
      <c r="C35" s="61" t="str">
        <f ca="1">IFERROR(__xludf.DUMMYFUNCTION("""COMPUTED_VALUE"""),"Pawpaw")</f>
        <v>Pawpaw</v>
      </c>
      <c r="D35" s="61" t="str">
        <f ca="1">IFERROR(__xludf.DUMMYFUNCTION("""COMPUTED_VALUE"""),"#5")</f>
        <v>#5</v>
      </c>
      <c r="E35" s="61" t="str">
        <f ca="1">IFERROR(__xludf.DUMMYFUNCTION("""COMPUTED_VALUE"""),"0.25-0.5""")</f>
        <v>0.25-0.5"</v>
      </c>
      <c r="F35" s="61" t="str">
        <f ca="1">IFERROR(__xludf.DUMMYFUNCTION("""COMPUTED_VALUE"""),"1-4'")</f>
        <v>1-4'</v>
      </c>
      <c r="G35" s="62">
        <f ca="1">IFERROR(__xludf.DUMMYFUNCTION("""COMPUTED_VALUE"""),178)</f>
        <v>178</v>
      </c>
      <c r="H35" s="63">
        <f ca="1">IFERROR(__xludf.DUMMYFUNCTION("""COMPUTED_VALUE"""),50)</f>
        <v>50</v>
      </c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2.75" x14ac:dyDescent="0.2">
      <c r="A36" s="61" t="str">
        <f ca="1">IFERROR(__xludf.DUMMYFUNCTION("""COMPUTED_VALUE"""),"Betula nigra 'Heritage'")</f>
        <v>Betula nigra 'Heritage'</v>
      </c>
      <c r="B36" s="61">
        <f ca="1">IFERROR(__xludf.DUMMYFUNCTION("""COMPUTED_VALUE"""),5)</f>
        <v>5</v>
      </c>
      <c r="C36" s="61" t="str">
        <f ca="1">IFERROR(__xludf.DUMMYFUNCTION("""COMPUTED_VALUE"""),"Heritage River Birch")</f>
        <v>Heritage River Birch</v>
      </c>
      <c r="D36" s="61" t="str">
        <f ca="1">IFERROR(__xludf.DUMMYFUNCTION("""COMPUTED_VALUE"""),"#5")</f>
        <v>#5</v>
      </c>
      <c r="E36" s="61" t="str">
        <f ca="1">IFERROR(__xludf.DUMMYFUNCTION("""COMPUTED_VALUE"""),"0.25-1.25""")</f>
        <v>0.25-1.25"</v>
      </c>
      <c r="F36" s="61" t="str">
        <f ca="1">IFERROR(__xludf.DUMMYFUNCTION("""COMPUTED_VALUE"""),"4-10'")</f>
        <v>4-10'</v>
      </c>
      <c r="G36" s="62">
        <f ca="1">IFERROR(__xludf.DUMMYFUNCTION("""COMPUTED_VALUE"""),125)</f>
        <v>125</v>
      </c>
      <c r="H36" s="63">
        <f ca="1">IFERROR(__xludf.DUMMYFUNCTION("""COMPUTED_VALUE"""),50)</f>
        <v>50</v>
      </c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12.75" x14ac:dyDescent="0.2">
      <c r="A37" s="61" t="str">
        <f ca="1">IFERROR(__xludf.DUMMYFUNCTION("""COMPUTED_VALUE"""),"Betula nigra 'Heritage'")</f>
        <v>Betula nigra 'Heritage'</v>
      </c>
      <c r="B37" s="61">
        <f ca="1">IFERROR(__xludf.DUMMYFUNCTION("""COMPUTED_VALUE"""),15)</f>
        <v>15</v>
      </c>
      <c r="C37" s="61" t="str">
        <f ca="1">IFERROR(__xludf.DUMMYFUNCTION("""COMPUTED_VALUE"""),"Clump Heritage River Birch")</f>
        <v>Clump Heritage River Birch</v>
      </c>
      <c r="D37" s="61" t="str">
        <f ca="1">IFERROR(__xludf.DUMMYFUNCTION("""COMPUTED_VALUE"""),"#15")</f>
        <v>#15</v>
      </c>
      <c r="E37" s="61" t="str">
        <f ca="1">IFERROR(__xludf.DUMMYFUNCTION("""COMPUTED_VALUE"""),"Multi")</f>
        <v>Multi</v>
      </c>
      <c r="F37" s="61" t="str">
        <f ca="1">IFERROR(__xludf.DUMMYFUNCTION("""COMPUTED_VALUE"""),"6-8'")</f>
        <v>6-8'</v>
      </c>
      <c r="G37" s="62">
        <f ca="1">IFERROR(__xludf.DUMMYFUNCTION("""COMPUTED_VALUE"""),1)</f>
        <v>1</v>
      </c>
      <c r="H37" s="63">
        <f ca="1">IFERROR(__xludf.DUMMYFUNCTION("""COMPUTED_VALUE"""),135)</f>
        <v>135</v>
      </c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2.75" x14ac:dyDescent="0.2">
      <c r="A38" s="61" t="str">
        <f ca="1">IFERROR(__xludf.DUMMYFUNCTION("""COMPUTED_VALUE"""),"Betula populifolia")</f>
        <v>Betula populifolia</v>
      </c>
      <c r="B38" s="61">
        <f ca="1">IFERROR(__xludf.DUMMYFUNCTION("""COMPUTED_VALUE"""),5)</f>
        <v>5</v>
      </c>
      <c r="C38" s="61" t="str">
        <f ca="1">IFERROR(__xludf.DUMMYFUNCTION("""COMPUTED_VALUE"""),"Gray Birch")</f>
        <v>Gray Birch</v>
      </c>
      <c r="D38" s="61" t="str">
        <f ca="1">IFERROR(__xludf.DUMMYFUNCTION("""COMPUTED_VALUE"""),"#5")</f>
        <v>#5</v>
      </c>
      <c r="E38" s="61" t="str">
        <f ca="1">IFERROR(__xludf.DUMMYFUNCTION("""COMPUTED_VALUE"""),"0.25-1""")</f>
        <v>0.25-1"</v>
      </c>
      <c r="F38" s="61" t="str">
        <f ca="1">IFERROR(__xludf.DUMMYFUNCTION("""COMPUTED_VALUE"""),"2-5'")</f>
        <v>2-5'</v>
      </c>
      <c r="G38" s="62">
        <f ca="1">IFERROR(__xludf.DUMMYFUNCTION("""COMPUTED_VALUE"""),36)</f>
        <v>36</v>
      </c>
      <c r="H38" s="63">
        <f ca="1">IFERROR(__xludf.DUMMYFUNCTION("""COMPUTED_VALUE"""),50)</f>
        <v>50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2.75" x14ac:dyDescent="0.2">
      <c r="A39" s="61" t="str">
        <f ca="1">IFERROR(__xludf.DUMMYFUNCTION("""COMPUTED_VALUE"""),"Carpinus caroliniana")</f>
        <v>Carpinus caroliniana</v>
      </c>
      <c r="B39" s="61">
        <f ca="1">IFERROR(__xludf.DUMMYFUNCTION("""COMPUTED_VALUE"""),5)</f>
        <v>5</v>
      </c>
      <c r="C39" s="61" t="str">
        <f ca="1">IFERROR(__xludf.DUMMYFUNCTION("""COMPUTED_VALUE"""),"American Hornbeam")</f>
        <v>American Hornbeam</v>
      </c>
      <c r="D39" s="61" t="str">
        <f ca="1">IFERROR(__xludf.DUMMYFUNCTION("""COMPUTED_VALUE"""),"#5")</f>
        <v>#5</v>
      </c>
      <c r="E39" s="61" t="str">
        <f ca="1">IFERROR(__xludf.DUMMYFUNCTION("""COMPUTED_VALUE"""),"0.5-1.5""")</f>
        <v>0.5-1.5"</v>
      </c>
      <c r="F39" s="61" t="str">
        <f ca="1">IFERROR(__xludf.DUMMYFUNCTION("""COMPUTED_VALUE"""),"4-11'")</f>
        <v>4-11'</v>
      </c>
      <c r="G39" s="62">
        <f ca="1">IFERROR(__xludf.DUMMYFUNCTION("""COMPUTED_VALUE"""),161)</f>
        <v>161</v>
      </c>
      <c r="H39" s="63">
        <f ca="1">IFERROR(__xludf.DUMMYFUNCTION("""COMPUTED_VALUE"""),50)</f>
        <v>50</v>
      </c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2.75" x14ac:dyDescent="0.2">
      <c r="A40" s="61" t="str">
        <f ca="1">IFERROR(__xludf.DUMMYFUNCTION("""COMPUTED_VALUE"""),"Carpinus caroliniana")</f>
        <v>Carpinus caroliniana</v>
      </c>
      <c r="B40" s="61">
        <f ca="1">IFERROR(__xludf.DUMMYFUNCTION("""COMPUTED_VALUE"""),7)</f>
        <v>7</v>
      </c>
      <c r="C40" s="61" t="str">
        <f ca="1">IFERROR(__xludf.DUMMYFUNCTION("""COMPUTED_VALUE"""),"American Hornbeam")</f>
        <v>American Hornbeam</v>
      </c>
      <c r="D40" s="61" t="str">
        <f ca="1">IFERROR(__xludf.DUMMYFUNCTION("""COMPUTED_VALUE"""),"#7")</f>
        <v>#7</v>
      </c>
      <c r="E40" s="61" t="str">
        <f ca="1">IFERROR(__xludf.DUMMYFUNCTION("""COMPUTED_VALUE"""),"1-1.5""")</f>
        <v>1-1.5"</v>
      </c>
      <c r="F40" s="61" t="str">
        <f ca="1">IFERROR(__xludf.DUMMYFUNCTION("""COMPUTED_VALUE"""),"7-9'")</f>
        <v>7-9'</v>
      </c>
      <c r="G40" s="62">
        <f ca="1">IFERROR(__xludf.DUMMYFUNCTION("""COMPUTED_VALUE"""),33)</f>
        <v>33</v>
      </c>
      <c r="H40" s="63">
        <f ca="1">IFERROR(__xludf.DUMMYFUNCTION("""COMPUTED_VALUE"""),70)</f>
        <v>70</v>
      </c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2.75" x14ac:dyDescent="0.2">
      <c r="A41" s="61" t="str">
        <f ca="1">IFERROR(__xludf.DUMMYFUNCTION("""COMPUTED_VALUE"""),"Carpinus caroliniana")</f>
        <v>Carpinus caroliniana</v>
      </c>
      <c r="B41" s="61">
        <f ca="1">IFERROR(__xludf.DUMMYFUNCTION("""COMPUTED_VALUE"""),15)</f>
        <v>15</v>
      </c>
      <c r="C41" s="61" t="str">
        <f ca="1">IFERROR(__xludf.DUMMYFUNCTION("""COMPUTED_VALUE"""),"American Hornbeam")</f>
        <v>American Hornbeam</v>
      </c>
      <c r="D41" s="61" t="str">
        <f ca="1">IFERROR(__xludf.DUMMYFUNCTION("""COMPUTED_VALUE"""),"#15")</f>
        <v>#15</v>
      </c>
      <c r="E41" s="61" t="str">
        <f ca="1">IFERROR(__xludf.DUMMYFUNCTION("""COMPUTED_VALUE"""),"0.75-2""")</f>
        <v>0.75-2"</v>
      </c>
      <c r="F41" s="61" t="str">
        <f ca="1">IFERROR(__xludf.DUMMYFUNCTION("""COMPUTED_VALUE"""),"7.5-10'")</f>
        <v>7.5-10'</v>
      </c>
      <c r="G41" s="62">
        <f ca="1">IFERROR(__xludf.DUMMYFUNCTION("""COMPUTED_VALUE"""),8)</f>
        <v>8</v>
      </c>
      <c r="H41" s="63">
        <f ca="1">IFERROR(__xludf.DUMMYFUNCTION("""COMPUTED_VALUE"""),135)</f>
        <v>135</v>
      </c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2.75" x14ac:dyDescent="0.2">
      <c r="A42" s="61" t="str">
        <f ca="1">IFERROR(__xludf.DUMMYFUNCTION("""COMPUTED_VALUE"""),"Carpinus caroliniana")</f>
        <v>Carpinus caroliniana</v>
      </c>
      <c r="B42" s="61" t="str">
        <f ca="1">IFERROR(__xludf.DUMMYFUNCTION("""COMPUTED_VALUE"""),"10")</f>
        <v>10</v>
      </c>
      <c r="C42" s="61" t="str">
        <f ca="1">IFERROR(__xludf.DUMMYFUNCTION("""COMPUTED_VALUE"""),"American Hornbeam")</f>
        <v>American Hornbeam</v>
      </c>
      <c r="D42" s="61" t="str">
        <f ca="1">IFERROR(__xludf.DUMMYFUNCTION("""COMPUTED_VALUE"""),"#10")</f>
        <v>#10</v>
      </c>
      <c r="E42" s="61" t="str">
        <f ca="1">IFERROR(__xludf.DUMMYFUNCTION("""COMPUTED_VALUE"""),"0.5-0.75""")</f>
        <v>0.5-0.75"</v>
      </c>
      <c r="F42" s="61" t="str">
        <f ca="1">IFERROR(__xludf.DUMMYFUNCTION("""COMPUTED_VALUE"""),"4-5.5'")</f>
        <v>4-5.5'</v>
      </c>
      <c r="G42" s="62">
        <f ca="1">IFERROR(__xludf.DUMMYFUNCTION("""COMPUTED_VALUE"""),104)</f>
        <v>104</v>
      </c>
      <c r="H42" s="63">
        <f ca="1">IFERROR(__xludf.DUMMYFUNCTION("""COMPUTED_VALUE"""),100)</f>
        <v>100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2.75" x14ac:dyDescent="0.2">
      <c r="A43" s="61" t="str">
        <f ca="1">IFERROR(__xludf.DUMMYFUNCTION("""COMPUTED_VALUE"""),"Catalpa bignonioides")</f>
        <v>Catalpa bignonioides</v>
      </c>
      <c r="B43" s="61">
        <f ca="1">IFERROR(__xludf.DUMMYFUNCTION("""COMPUTED_VALUE"""),5)</f>
        <v>5</v>
      </c>
      <c r="C43" s="61" t="str">
        <f ca="1">IFERROR(__xludf.DUMMYFUNCTION("""COMPUTED_VALUE"""),"Southern Catalpa")</f>
        <v>Southern Catalpa</v>
      </c>
      <c r="D43" s="61" t="str">
        <f ca="1">IFERROR(__xludf.DUMMYFUNCTION("""COMPUTED_VALUE"""),"#5")</f>
        <v>#5</v>
      </c>
      <c r="E43" s="61" t="str">
        <f ca="1">IFERROR(__xludf.DUMMYFUNCTION("""COMPUTED_VALUE"""),"0.25-1.25""")</f>
        <v>0.25-1.25"</v>
      </c>
      <c r="F43" s="61" t="str">
        <f ca="1">IFERROR(__xludf.DUMMYFUNCTION("""COMPUTED_VALUE"""),"2-6'")</f>
        <v>2-6'</v>
      </c>
      <c r="G43" s="62">
        <f ca="1">IFERROR(__xludf.DUMMYFUNCTION("""COMPUTED_VALUE"""),17)</f>
        <v>17</v>
      </c>
      <c r="H43" s="63">
        <f ca="1">IFERROR(__xludf.DUMMYFUNCTION("""COMPUTED_VALUE"""),50)</f>
        <v>50</v>
      </c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2.75" x14ac:dyDescent="0.2">
      <c r="A44" s="61" t="str">
        <f ca="1">IFERROR(__xludf.DUMMYFUNCTION("""COMPUTED_VALUE"""),"Catalpa speciosa")</f>
        <v>Catalpa speciosa</v>
      </c>
      <c r="B44" s="61">
        <f ca="1">IFERROR(__xludf.DUMMYFUNCTION("""COMPUTED_VALUE"""),5)</f>
        <v>5</v>
      </c>
      <c r="C44" s="61" t="str">
        <f ca="1">IFERROR(__xludf.DUMMYFUNCTION("""COMPUTED_VALUE"""),"Northern Catalpa")</f>
        <v>Northern Catalpa</v>
      </c>
      <c r="D44" s="61" t="str">
        <f ca="1">IFERROR(__xludf.DUMMYFUNCTION("""COMPUTED_VALUE"""),"#5")</f>
        <v>#5</v>
      </c>
      <c r="E44" s="61" t="str">
        <f ca="1">IFERROR(__xludf.DUMMYFUNCTION("""COMPUTED_VALUE"""),"0.25-0.5""")</f>
        <v>0.25-0.5"</v>
      </c>
      <c r="F44" s="61" t="str">
        <f ca="1">IFERROR(__xludf.DUMMYFUNCTION("""COMPUTED_VALUE"""),"2-3'")</f>
        <v>2-3'</v>
      </c>
      <c r="G44" s="62">
        <f ca="1">IFERROR(__xludf.DUMMYFUNCTION("""COMPUTED_VALUE"""),19)</f>
        <v>19</v>
      </c>
      <c r="H44" s="63">
        <f ca="1">IFERROR(__xludf.DUMMYFUNCTION("""COMPUTED_VALUE"""),50)</f>
        <v>50</v>
      </c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2.75" x14ac:dyDescent="0.2">
      <c r="A45" s="61" t="str">
        <f ca="1">IFERROR(__xludf.DUMMYFUNCTION("""COMPUTED_VALUE"""),"Celtis laevigata")</f>
        <v>Celtis laevigata</v>
      </c>
      <c r="B45" s="61">
        <f ca="1">IFERROR(__xludf.DUMMYFUNCTION("""COMPUTED_VALUE"""),5)</f>
        <v>5</v>
      </c>
      <c r="C45" s="61" t="str">
        <f ca="1">IFERROR(__xludf.DUMMYFUNCTION("""COMPUTED_VALUE"""),"Sugarberry")</f>
        <v>Sugarberry</v>
      </c>
      <c r="D45" s="61" t="str">
        <f ca="1">IFERROR(__xludf.DUMMYFUNCTION("""COMPUTED_VALUE"""),"#5")</f>
        <v>#5</v>
      </c>
      <c r="E45" s="61" t="str">
        <f ca="1">IFERROR(__xludf.DUMMYFUNCTION("""COMPUTED_VALUE"""),"0.75-1.25""")</f>
        <v>0.75-1.25"</v>
      </c>
      <c r="F45" s="61" t="str">
        <f ca="1">IFERROR(__xludf.DUMMYFUNCTION("""COMPUTED_VALUE"""),"5-9'")</f>
        <v>5-9'</v>
      </c>
      <c r="G45" s="62">
        <f ca="1">IFERROR(__xludf.DUMMYFUNCTION("""COMPUTED_VALUE"""),46)</f>
        <v>46</v>
      </c>
      <c r="H45" s="63">
        <f ca="1">IFERROR(__xludf.DUMMYFUNCTION("""COMPUTED_VALUE"""),50)</f>
        <v>50</v>
      </c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2.75" x14ac:dyDescent="0.2">
      <c r="A46" s="61" t="str">
        <f ca="1">IFERROR(__xludf.DUMMYFUNCTION("""COMPUTED_VALUE"""),"Celtis occidentalis")</f>
        <v>Celtis occidentalis</v>
      </c>
      <c r="B46" s="61">
        <f ca="1">IFERROR(__xludf.DUMMYFUNCTION("""COMPUTED_VALUE"""),5)</f>
        <v>5</v>
      </c>
      <c r="C46" s="61" t="str">
        <f ca="1">IFERROR(__xludf.DUMMYFUNCTION("""COMPUTED_VALUE"""),"Hackberry")</f>
        <v>Hackberry</v>
      </c>
      <c r="D46" s="61" t="str">
        <f ca="1">IFERROR(__xludf.DUMMYFUNCTION("""COMPUTED_VALUE"""),"#5")</f>
        <v>#5</v>
      </c>
      <c r="E46" s="61" t="str">
        <f ca="1">IFERROR(__xludf.DUMMYFUNCTION("""COMPUTED_VALUE"""),"0.5-1.5""")</f>
        <v>0.5-1.5"</v>
      </c>
      <c r="F46" s="61" t="str">
        <f ca="1">IFERROR(__xludf.DUMMYFUNCTION("""COMPUTED_VALUE"""),"4-12'")</f>
        <v>4-12'</v>
      </c>
      <c r="G46" s="62">
        <f ca="1">IFERROR(__xludf.DUMMYFUNCTION("""COMPUTED_VALUE"""),178)</f>
        <v>178</v>
      </c>
      <c r="H46" s="63">
        <f ca="1">IFERROR(__xludf.DUMMYFUNCTION("""COMPUTED_VALUE"""),50)</f>
        <v>50</v>
      </c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2.75" x14ac:dyDescent="0.2">
      <c r="A47" s="61" t="str">
        <f ca="1">IFERROR(__xludf.DUMMYFUNCTION("""COMPUTED_VALUE"""),"Celtis occidentalis")</f>
        <v>Celtis occidentalis</v>
      </c>
      <c r="B47" s="61">
        <f ca="1">IFERROR(__xludf.DUMMYFUNCTION("""COMPUTED_VALUE"""),7)</f>
        <v>7</v>
      </c>
      <c r="C47" s="61" t="str">
        <f ca="1">IFERROR(__xludf.DUMMYFUNCTION("""COMPUTED_VALUE"""),"Hackberry")</f>
        <v>Hackberry</v>
      </c>
      <c r="D47" s="61" t="str">
        <f ca="1">IFERROR(__xludf.DUMMYFUNCTION("""COMPUTED_VALUE"""),"#7")</f>
        <v>#7</v>
      </c>
      <c r="E47" s="61" t="str">
        <f ca="1">IFERROR(__xludf.DUMMYFUNCTION("""COMPUTED_VALUE"""),"0.25-0.5""")</f>
        <v>0.25-0.5"</v>
      </c>
      <c r="F47" s="61" t="str">
        <f ca="1">IFERROR(__xludf.DUMMYFUNCTION("""COMPUTED_VALUE"""),"2.5-4'")</f>
        <v>2.5-4'</v>
      </c>
      <c r="G47" s="62">
        <f ca="1">IFERROR(__xludf.DUMMYFUNCTION("""COMPUTED_VALUE"""),18)</f>
        <v>18</v>
      </c>
      <c r="H47" s="63">
        <f ca="1">IFERROR(__xludf.DUMMYFUNCTION("""COMPUTED_VALUE"""),70)</f>
        <v>70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2.75" x14ac:dyDescent="0.2">
      <c r="A48" s="61" t="str">
        <f ca="1">IFERROR(__xludf.DUMMYFUNCTION("""COMPUTED_VALUE"""),"Cephalanthus occidentalis")</f>
        <v>Cephalanthus occidentalis</v>
      </c>
      <c r="B48" s="61">
        <f ca="1">IFERROR(__xludf.DUMMYFUNCTION("""COMPUTED_VALUE"""),5)</f>
        <v>5</v>
      </c>
      <c r="C48" s="61" t="str">
        <f ca="1">IFERROR(__xludf.DUMMYFUNCTION("""COMPUTED_VALUE"""),"Buttonbush")</f>
        <v>Buttonbush</v>
      </c>
      <c r="D48" s="61" t="str">
        <f ca="1">IFERROR(__xludf.DUMMYFUNCTION("""COMPUTED_VALUE"""),"#5")</f>
        <v>#5</v>
      </c>
      <c r="E48" s="61" t="str">
        <f ca="1">IFERROR(__xludf.DUMMYFUNCTION("""COMPUTED_VALUE"""),"Multi")</f>
        <v>Multi</v>
      </c>
      <c r="F48" s="61" t="str">
        <f ca="1">IFERROR(__xludf.DUMMYFUNCTION("""COMPUTED_VALUE"""),"2-6'")</f>
        <v>2-6'</v>
      </c>
      <c r="G48" s="62">
        <f ca="1">IFERROR(__xludf.DUMMYFUNCTION("""COMPUTED_VALUE"""),94)</f>
        <v>94</v>
      </c>
      <c r="H48" s="63">
        <f ca="1">IFERROR(__xludf.DUMMYFUNCTION("""COMPUTED_VALUE"""),37)</f>
        <v>37</v>
      </c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2.75" x14ac:dyDescent="0.2">
      <c r="A49" s="61" t="str">
        <f ca="1">IFERROR(__xludf.DUMMYFUNCTION("""COMPUTED_VALUE"""),"Cercidiphyllum japonicum")</f>
        <v>Cercidiphyllum japonicum</v>
      </c>
      <c r="B49" s="61">
        <f ca="1">IFERROR(__xludf.DUMMYFUNCTION("""COMPUTED_VALUE"""),5)</f>
        <v>5</v>
      </c>
      <c r="C49" s="61" t="str">
        <f ca="1">IFERROR(__xludf.DUMMYFUNCTION("""COMPUTED_VALUE"""),"Katsura")</f>
        <v>Katsura</v>
      </c>
      <c r="D49" s="61" t="str">
        <f ca="1">IFERROR(__xludf.DUMMYFUNCTION("""COMPUTED_VALUE"""),"#5")</f>
        <v>#5</v>
      </c>
      <c r="E49" s="61" t="str">
        <f ca="1">IFERROR(__xludf.DUMMYFUNCTION("""COMPUTED_VALUE"""),"0.5-0.75""")</f>
        <v>0.5-0.75"</v>
      </c>
      <c r="F49" s="61" t="str">
        <f ca="1">IFERROR(__xludf.DUMMYFUNCTION("""COMPUTED_VALUE"""),"3-6'")</f>
        <v>3-6'</v>
      </c>
      <c r="G49" s="62">
        <f ca="1">IFERROR(__xludf.DUMMYFUNCTION("""COMPUTED_VALUE"""),22)</f>
        <v>22</v>
      </c>
      <c r="H49" s="63">
        <f ca="1">IFERROR(__xludf.DUMMYFUNCTION("""COMPUTED_VALUE"""),50)</f>
        <v>50</v>
      </c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2.75" x14ac:dyDescent="0.2">
      <c r="A50" s="61" t="str">
        <f ca="1">IFERROR(__xludf.DUMMYFUNCTION("""COMPUTED_VALUE"""),"Cercis alba")</f>
        <v>Cercis alba</v>
      </c>
      <c r="B50" s="61" t="str">
        <f ca="1">IFERROR(__xludf.DUMMYFUNCTION("""COMPUTED_VALUE"""),"7")</f>
        <v>7</v>
      </c>
      <c r="C50" s="61" t="str">
        <f ca="1">IFERROR(__xludf.DUMMYFUNCTION("""COMPUTED_VALUE"""),"Whitebud")</f>
        <v>Whitebud</v>
      </c>
      <c r="D50" s="61" t="str">
        <f ca="1">IFERROR(__xludf.DUMMYFUNCTION("""COMPUTED_VALUE"""),"#7")</f>
        <v>#7</v>
      </c>
      <c r="E50" s="61" t="str">
        <f ca="1">IFERROR(__xludf.DUMMYFUNCTION("""COMPUTED_VALUE"""),"0.5-0.75""")</f>
        <v>0.5-0.75"</v>
      </c>
      <c r="F50" s="61" t="str">
        <f ca="1">IFERROR(__xludf.DUMMYFUNCTION("""COMPUTED_VALUE"""),"5-7'")</f>
        <v>5-7'</v>
      </c>
      <c r="G50" s="62">
        <f ca="1">IFERROR(__xludf.DUMMYFUNCTION("""COMPUTED_VALUE"""),7)</f>
        <v>7</v>
      </c>
      <c r="H50" s="63">
        <f ca="1">IFERROR(__xludf.DUMMYFUNCTION("""COMPUTED_VALUE"""),100)</f>
        <v>100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2.75" x14ac:dyDescent="0.2">
      <c r="A51" s="61" t="str">
        <f ca="1">IFERROR(__xludf.DUMMYFUNCTION("""COMPUTED_VALUE"""),"Cercis canadensis")</f>
        <v>Cercis canadensis</v>
      </c>
      <c r="B51" s="61">
        <f ca="1">IFERROR(__xludf.DUMMYFUNCTION("""COMPUTED_VALUE"""),5)</f>
        <v>5</v>
      </c>
      <c r="C51" s="61" t="str">
        <f ca="1">IFERROR(__xludf.DUMMYFUNCTION("""COMPUTED_VALUE"""),"Eastern Redbud")</f>
        <v>Eastern Redbud</v>
      </c>
      <c r="D51" s="61" t="str">
        <f ca="1">IFERROR(__xludf.DUMMYFUNCTION("""COMPUTED_VALUE"""),"#5")</f>
        <v>#5</v>
      </c>
      <c r="E51" s="61" t="str">
        <f ca="1">IFERROR(__xludf.DUMMYFUNCTION("""COMPUTED_VALUE"""),"0.25-1""")</f>
        <v>0.25-1"</v>
      </c>
      <c r="F51" s="61" t="str">
        <f ca="1">IFERROR(__xludf.DUMMYFUNCTION("""COMPUTED_VALUE"""),"3-8'")</f>
        <v>3-8'</v>
      </c>
      <c r="G51" s="62">
        <f ca="1">IFERROR(__xludf.DUMMYFUNCTION("""COMPUTED_VALUE"""),123)</f>
        <v>123</v>
      </c>
      <c r="H51" s="63">
        <f ca="1">IFERROR(__xludf.DUMMYFUNCTION("""COMPUTED_VALUE"""),50)</f>
        <v>50</v>
      </c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2.75" x14ac:dyDescent="0.2">
      <c r="A52" s="61" t="str">
        <f ca="1">IFERROR(__xludf.DUMMYFUNCTION("""COMPUTED_VALUE"""),"Cercis canadensis")</f>
        <v>Cercis canadensis</v>
      </c>
      <c r="B52" s="61">
        <f ca="1">IFERROR(__xludf.DUMMYFUNCTION("""COMPUTED_VALUE"""),10)</f>
        <v>10</v>
      </c>
      <c r="C52" s="61" t="str">
        <f ca="1">IFERROR(__xludf.DUMMYFUNCTION("""COMPUTED_VALUE"""),"Eastern Redbud")</f>
        <v>Eastern Redbud</v>
      </c>
      <c r="D52" s="61" t="str">
        <f ca="1">IFERROR(__xludf.DUMMYFUNCTION("""COMPUTED_VALUE"""),"#10")</f>
        <v>#10</v>
      </c>
      <c r="E52" s="61" t="str">
        <f ca="1">IFERROR(__xludf.DUMMYFUNCTION("""COMPUTED_VALUE"""),"0.5-1.25""")</f>
        <v>0.5-1.25"</v>
      </c>
      <c r="F52" s="61" t="str">
        <f ca="1">IFERROR(__xludf.DUMMYFUNCTION("""COMPUTED_VALUE"""),"6-8'")</f>
        <v>6-8'</v>
      </c>
      <c r="G52" s="62">
        <f ca="1">IFERROR(__xludf.DUMMYFUNCTION("""COMPUTED_VALUE"""),63)</f>
        <v>63</v>
      </c>
      <c r="H52" s="63">
        <f ca="1">IFERROR(__xludf.DUMMYFUNCTION("""COMPUTED_VALUE"""),100)</f>
        <v>100</v>
      </c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2.75" x14ac:dyDescent="0.2">
      <c r="A53" s="61" t="str">
        <f ca="1">IFERROR(__xludf.DUMMYFUNCTION("""COMPUTED_VALUE"""),"Cercis canadensis")</f>
        <v>Cercis canadensis</v>
      </c>
      <c r="B53" s="61">
        <f ca="1">IFERROR(__xludf.DUMMYFUNCTION("""COMPUTED_VALUE"""),15)</f>
        <v>15</v>
      </c>
      <c r="C53" s="61" t="str">
        <f ca="1">IFERROR(__xludf.DUMMYFUNCTION("""COMPUTED_VALUE"""),"Eastern Redbud")</f>
        <v>Eastern Redbud</v>
      </c>
      <c r="D53" s="61" t="str">
        <f ca="1">IFERROR(__xludf.DUMMYFUNCTION("""COMPUTED_VALUE"""),"#15")</f>
        <v>#15</v>
      </c>
      <c r="E53" s="61" t="str">
        <f ca="1">IFERROR(__xludf.DUMMYFUNCTION("""COMPUTED_VALUE"""),"1-1.25""")</f>
        <v>1-1.25"</v>
      </c>
      <c r="F53" s="61" t="str">
        <f ca="1">IFERROR(__xludf.DUMMYFUNCTION("""COMPUTED_VALUE"""),"8-12'")</f>
        <v>8-12'</v>
      </c>
      <c r="G53" s="62">
        <f ca="1">IFERROR(__xludf.DUMMYFUNCTION("""COMPUTED_VALUE"""),17)</f>
        <v>17</v>
      </c>
      <c r="H53" s="63">
        <f ca="1">IFERROR(__xludf.DUMMYFUNCTION("""COMPUTED_VALUE"""),135)</f>
        <v>135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2.75" x14ac:dyDescent="0.2">
      <c r="A54" s="61" t="str">
        <f ca="1">IFERROR(__xludf.DUMMYFUNCTION("""COMPUTED_VALUE"""),"Cercis canadensis 'Appalachian Red'")</f>
        <v>Cercis canadensis 'Appalachian Red'</v>
      </c>
      <c r="B54" s="61">
        <f ca="1">IFERROR(__xludf.DUMMYFUNCTION("""COMPUTED_VALUE"""),15)</f>
        <v>15</v>
      </c>
      <c r="C54" s="61" t="str">
        <f ca="1">IFERROR(__xludf.DUMMYFUNCTION("""COMPUTED_VALUE"""),"Appalachian Red Redbud")</f>
        <v>Appalachian Red Redbud</v>
      </c>
      <c r="D54" s="61" t="str">
        <f ca="1">IFERROR(__xludf.DUMMYFUNCTION("""COMPUTED_VALUE"""),"#15")</f>
        <v>#15</v>
      </c>
      <c r="E54" s="61" t="str">
        <f ca="1">IFERROR(__xludf.DUMMYFUNCTION("""COMPUTED_VALUE"""),"0.75-1.25""")</f>
        <v>0.75-1.25"</v>
      </c>
      <c r="F54" s="61" t="str">
        <f ca="1">IFERROR(__xludf.DUMMYFUNCTION("""COMPUTED_VALUE"""),"6-10'")</f>
        <v>6-10'</v>
      </c>
      <c r="G54" s="62">
        <f ca="1">IFERROR(__xludf.DUMMYFUNCTION("""COMPUTED_VALUE"""),7)</f>
        <v>7</v>
      </c>
      <c r="H54" s="63">
        <f ca="1">IFERROR(__xludf.DUMMYFUNCTION("""COMPUTED_VALUE"""),135)</f>
        <v>135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2.75" x14ac:dyDescent="0.2">
      <c r="A55" s="61" t="str">
        <f ca="1">IFERROR(__xludf.DUMMYFUNCTION("""COMPUTED_VALUE"""),"Cercis canadensis 'Forest Pansy'")</f>
        <v>Cercis canadensis 'Forest Pansy'</v>
      </c>
      <c r="B55" s="61">
        <f ca="1">IFERROR(__xludf.DUMMYFUNCTION("""COMPUTED_VALUE"""),10)</f>
        <v>10</v>
      </c>
      <c r="C55" s="61" t="str">
        <f ca="1">IFERROR(__xludf.DUMMYFUNCTION("""COMPUTED_VALUE"""),"Forest Pansy Redbud")</f>
        <v>Forest Pansy Redbud</v>
      </c>
      <c r="D55" s="61" t="str">
        <f ca="1">IFERROR(__xludf.DUMMYFUNCTION("""COMPUTED_VALUE"""),"#10")</f>
        <v>#10</v>
      </c>
      <c r="E55" s="61" t="str">
        <f ca="1">IFERROR(__xludf.DUMMYFUNCTION("""COMPUTED_VALUE"""),"0.75-1.5""")</f>
        <v>0.75-1.5"</v>
      </c>
      <c r="F55" s="61" t="str">
        <f ca="1">IFERROR(__xludf.DUMMYFUNCTION("""COMPUTED_VALUE"""),"5-9'")</f>
        <v>5-9'</v>
      </c>
      <c r="G55" s="62">
        <f ca="1">IFERROR(__xludf.DUMMYFUNCTION("""COMPUTED_VALUE"""),38)</f>
        <v>38</v>
      </c>
      <c r="H55" s="63">
        <f ca="1">IFERROR(__xludf.DUMMYFUNCTION("""COMPUTED_VALUE"""),100)</f>
        <v>100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2.75" x14ac:dyDescent="0.2">
      <c r="A56" s="61" t="str">
        <f ca="1">IFERROR(__xludf.DUMMYFUNCTION("""COMPUTED_VALUE"""),"Cercis canadensis 'Hearts of Gold'")</f>
        <v>Cercis canadensis 'Hearts of Gold'</v>
      </c>
      <c r="B56" s="61" t="str">
        <f ca="1">IFERROR(__xludf.DUMMYFUNCTION("""COMPUTED_VALUE"""),"15")</f>
        <v>15</v>
      </c>
      <c r="C56" s="61" t="str">
        <f ca="1">IFERROR(__xludf.DUMMYFUNCTION("""COMPUTED_VALUE"""),"Hearts of Gold Redbud")</f>
        <v>Hearts of Gold Redbud</v>
      </c>
      <c r="D56" s="61" t="str">
        <f ca="1">IFERROR(__xludf.DUMMYFUNCTION("""COMPUTED_VALUE"""),"#15")</f>
        <v>#15</v>
      </c>
      <c r="E56" s="61" t="str">
        <f ca="1">IFERROR(__xludf.DUMMYFUNCTION("""COMPUTED_VALUE"""),"0.75-1""")</f>
        <v>0.75-1"</v>
      </c>
      <c r="F56" s="61" t="str">
        <f ca="1">IFERROR(__xludf.DUMMYFUNCTION("""COMPUTED_VALUE"""),"6.5-7'")</f>
        <v>6.5-7'</v>
      </c>
      <c r="G56" s="62">
        <f ca="1">IFERROR(__xludf.DUMMYFUNCTION("""COMPUTED_VALUE"""),5)</f>
        <v>5</v>
      </c>
      <c r="H56" s="63">
        <f ca="1">IFERROR(__xludf.DUMMYFUNCTION("""COMPUTED_VALUE"""),135)</f>
        <v>135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2.75" x14ac:dyDescent="0.2">
      <c r="A57" s="61" t="str">
        <f ca="1">IFERROR(__xludf.DUMMYFUNCTION("""COMPUTED_VALUE"""),"Cercis canadensis 'Lavender Twist'")</f>
        <v>Cercis canadensis 'Lavender Twist'</v>
      </c>
      <c r="B57" s="61">
        <f ca="1">IFERROR(__xludf.DUMMYFUNCTION("""COMPUTED_VALUE"""),5)</f>
        <v>5</v>
      </c>
      <c r="C57" s="61" t="str">
        <f ca="1">IFERROR(__xludf.DUMMYFUNCTION("""COMPUTED_VALUE"""),"Lavender Twist Redbud")</f>
        <v>Lavender Twist Redbud</v>
      </c>
      <c r="D57" s="61" t="str">
        <f ca="1">IFERROR(__xludf.DUMMYFUNCTION("""COMPUTED_VALUE"""),"#5")</f>
        <v>#5</v>
      </c>
      <c r="E57" s="61" t="str">
        <f ca="1">IFERROR(__xludf.DUMMYFUNCTION("""COMPUTED_VALUE"""),"0.5-1""")</f>
        <v>0.5-1"</v>
      </c>
      <c r="F57" s="61" t="str">
        <f ca="1">IFERROR(__xludf.DUMMYFUNCTION("""COMPUTED_VALUE"""),"3-5'")</f>
        <v>3-5'</v>
      </c>
      <c r="G57" s="62">
        <f ca="1">IFERROR(__xludf.DUMMYFUNCTION("""COMPUTED_VALUE"""),23)</f>
        <v>23</v>
      </c>
      <c r="H57" s="63">
        <f ca="1">IFERROR(__xludf.DUMMYFUNCTION("""COMPUTED_VALUE"""),100)</f>
        <v>100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2.75" x14ac:dyDescent="0.2">
      <c r="A58" s="61" t="str">
        <f ca="1">IFERROR(__xludf.DUMMYFUNCTION("""COMPUTED_VALUE"""),"Cercis canadensis 'Ruby Falls'")</f>
        <v>Cercis canadensis 'Ruby Falls'</v>
      </c>
      <c r="B58" s="61">
        <f ca="1">IFERROR(__xludf.DUMMYFUNCTION("""COMPUTED_VALUE"""),10)</f>
        <v>10</v>
      </c>
      <c r="C58" s="61" t="str">
        <f ca="1">IFERROR(__xludf.DUMMYFUNCTION("""COMPUTED_VALUE"""),"Ruby Falls Redbud")</f>
        <v>Ruby Falls Redbud</v>
      </c>
      <c r="D58" s="61" t="str">
        <f ca="1">IFERROR(__xludf.DUMMYFUNCTION("""COMPUTED_VALUE"""),"#10")</f>
        <v>#10</v>
      </c>
      <c r="E58" s="61" t="str">
        <f ca="1">IFERROR(__xludf.DUMMYFUNCTION("""COMPUTED_VALUE"""),"0.75-1""")</f>
        <v>0.75-1"</v>
      </c>
      <c r="F58" s="61" t="str">
        <f ca="1">IFERROR(__xludf.DUMMYFUNCTION("""COMPUTED_VALUE"""),"5.5-6.5'")</f>
        <v>5.5-6.5'</v>
      </c>
      <c r="G58" s="62">
        <f ca="1">IFERROR(__xludf.DUMMYFUNCTION("""COMPUTED_VALUE"""),2)</f>
        <v>2</v>
      </c>
      <c r="H58" s="63">
        <f ca="1">IFERROR(__xludf.DUMMYFUNCTION("""COMPUTED_VALUE"""),135)</f>
        <v>135</v>
      </c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2.75" x14ac:dyDescent="0.2">
      <c r="A59" s="61" t="str">
        <f ca="1">IFERROR(__xludf.DUMMYFUNCTION("""COMPUTED_VALUE"""),"Cladastris kentuckea 'Perkins Pink'")</f>
        <v>Cladastris kentuckea 'Perkins Pink'</v>
      </c>
      <c r="B59" s="61">
        <f ca="1">IFERROR(__xludf.DUMMYFUNCTION("""COMPUTED_VALUE"""),15)</f>
        <v>15</v>
      </c>
      <c r="C59" s="61" t="str">
        <f ca="1">IFERROR(__xludf.DUMMYFUNCTION("""COMPUTED_VALUE"""),"Perkins Pink Yellowwood")</f>
        <v>Perkins Pink Yellowwood</v>
      </c>
      <c r="D59" s="61" t="str">
        <f ca="1">IFERROR(__xludf.DUMMYFUNCTION("""COMPUTED_VALUE"""),"#15")</f>
        <v>#15</v>
      </c>
      <c r="E59" s="61" t="str">
        <f ca="1">IFERROR(__xludf.DUMMYFUNCTION("""COMPUTED_VALUE"""),"0.75-1.5""")</f>
        <v>0.75-1.5"</v>
      </c>
      <c r="F59" s="61" t="str">
        <f ca="1">IFERROR(__xludf.DUMMYFUNCTION("""COMPUTED_VALUE"""),"8-10'")</f>
        <v>8-10'</v>
      </c>
      <c r="G59" s="62">
        <f ca="1">IFERROR(__xludf.DUMMYFUNCTION("""COMPUTED_VALUE"""),1)</f>
        <v>1</v>
      </c>
      <c r="H59" s="63">
        <f ca="1">IFERROR(__xludf.DUMMYFUNCTION("""COMPUTED_VALUE"""),135)</f>
        <v>135</v>
      </c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2.75" x14ac:dyDescent="0.2">
      <c r="A60" s="61" t="str">
        <f ca="1">IFERROR(__xludf.DUMMYFUNCTION("""COMPUTED_VALUE"""),"Cladrastis kentukea")</f>
        <v>Cladrastis kentukea</v>
      </c>
      <c r="B60" s="61">
        <f ca="1">IFERROR(__xludf.DUMMYFUNCTION("""COMPUTED_VALUE"""),5)</f>
        <v>5</v>
      </c>
      <c r="C60" s="61" t="str">
        <f ca="1">IFERROR(__xludf.DUMMYFUNCTION("""COMPUTED_VALUE"""),"Yellowwood")</f>
        <v>Yellowwood</v>
      </c>
      <c r="D60" s="61" t="str">
        <f ca="1">IFERROR(__xludf.DUMMYFUNCTION("""COMPUTED_VALUE"""),"#5")</f>
        <v>#5</v>
      </c>
      <c r="E60" s="61" t="str">
        <f ca="1">IFERROR(__xludf.DUMMYFUNCTION("""COMPUTED_VALUE"""),"0.5-1""")</f>
        <v>0.5-1"</v>
      </c>
      <c r="F60" s="61" t="str">
        <f ca="1">IFERROR(__xludf.DUMMYFUNCTION("""COMPUTED_VALUE"""),"4-8'")</f>
        <v>4-8'</v>
      </c>
      <c r="G60" s="62">
        <f ca="1">IFERROR(__xludf.DUMMYFUNCTION("""COMPUTED_VALUE"""),73)</f>
        <v>73</v>
      </c>
      <c r="H60" s="63">
        <f ca="1">IFERROR(__xludf.DUMMYFUNCTION("""COMPUTED_VALUE"""),50)</f>
        <v>50</v>
      </c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2.75" x14ac:dyDescent="0.2">
      <c r="A61" s="61" t="str">
        <f ca="1">IFERROR(__xludf.DUMMYFUNCTION("""COMPUTED_VALUE"""),"Cladrastis kentukea")</f>
        <v>Cladrastis kentukea</v>
      </c>
      <c r="B61" s="61">
        <f ca="1">IFERROR(__xludf.DUMMYFUNCTION("""COMPUTED_VALUE"""),15)</f>
        <v>15</v>
      </c>
      <c r="C61" s="61" t="str">
        <f ca="1">IFERROR(__xludf.DUMMYFUNCTION("""COMPUTED_VALUE"""),"Yellowwood")</f>
        <v>Yellowwood</v>
      </c>
      <c r="D61" s="61" t="str">
        <f ca="1">IFERROR(__xludf.DUMMYFUNCTION("""COMPUTED_VALUE"""),"#15")</f>
        <v>#15</v>
      </c>
      <c r="E61" s="61" t="str">
        <f ca="1">IFERROR(__xludf.DUMMYFUNCTION("""COMPUTED_VALUE"""),"1-1.75""")</f>
        <v>1-1.75"</v>
      </c>
      <c r="F61" s="61" t="str">
        <f ca="1">IFERROR(__xludf.DUMMYFUNCTION("""COMPUTED_VALUE"""),"8-10'")</f>
        <v>8-10'</v>
      </c>
      <c r="G61" s="62">
        <f ca="1">IFERROR(__xludf.DUMMYFUNCTION("""COMPUTED_VALUE"""),4)</f>
        <v>4</v>
      </c>
      <c r="H61" s="63">
        <f ca="1">IFERROR(__xludf.DUMMYFUNCTION("""COMPUTED_VALUE"""),135)</f>
        <v>135</v>
      </c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2.75" x14ac:dyDescent="0.2">
      <c r="A62" s="61" t="str">
        <f ca="1">IFERROR(__xludf.DUMMYFUNCTION("""COMPUTED_VALUE"""),"Cornus 'Rutdan' Celestial ")</f>
        <v xml:space="preserve">Cornus 'Rutdan' Celestial </v>
      </c>
      <c r="B62" s="61">
        <f ca="1">IFERROR(__xludf.DUMMYFUNCTION("""COMPUTED_VALUE"""),10)</f>
        <v>10</v>
      </c>
      <c r="C62" s="61" t="str">
        <f ca="1">IFERROR(__xludf.DUMMYFUNCTION("""COMPUTED_VALUE"""),"Celestial Dogwood")</f>
        <v>Celestial Dogwood</v>
      </c>
      <c r="D62" s="61" t="str">
        <f ca="1">IFERROR(__xludf.DUMMYFUNCTION("""COMPUTED_VALUE"""),"#10")</f>
        <v>#10</v>
      </c>
      <c r="E62" s="61" t="str">
        <f ca="1">IFERROR(__xludf.DUMMYFUNCTION("""COMPUTED_VALUE"""),"0.5-1.25""")</f>
        <v>0.5-1.25"</v>
      </c>
      <c r="F62" s="61" t="str">
        <f ca="1">IFERROR(__xludf.DUMMYFUNCTION("""COMPUTED_VALUE"""),"4-10'")</f>
        <v>4-10'</v>
      </c>
      <c r="G62" s="62">
        <f ca="1">IFERROR(__xludf.DUMMYFUNCTION("""COMPUTED_VALUE"""),18)</f>
        <v>18</v>
      </c>
      <c r="H62" s="63">
        <f ca="1">IFERROR(__xludf.DUMMYFUNCTION("""COMPUTED_VALUE"""),100)</f>
        <v>100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2.75" x14ac:dyDescent="0.2">
      <c r="A63" s="61" t="str">
        <f ca="1">IFERROR(__xludf.DUMMYFUNCTION("""COMPUTED_VALUE"""),"Cornus alternifolia")</f>
        <v>Cornus alternifolia</v>
      </c>
      <c r="B63" s="61">
        <f ca="1">IFERROR(__xludf.DUMMYFUNCTION("""COMPUTED_VALUE"""),5)</f>
        <v>5</v>
      </c>
      <c r="C63" s="61" t="str">
        <f ca="1">IFERROR(__xludf.DUMMYFUNCTION("""COMPUTED_VALUE"""),"Pagoda Dogwood")</f>
        <v>Pagoda Dogwood</v>
      </c>
      <c r="D63" s="61" t="str">
        <f ca="1">IFERROR(__xludf.DUMMYFUNCTION("""COMPUTED_VALUE"""),"#5")</f>
        <v>#5</v>
      </c>
      <c r="E63" s="61" t="str">
        <f ca="1">IFERROR(__xludf.DUMMYFUNCTION("""COMPUTED_VALUE"""),"0.25-0.5""")</f>
        <v>0.25-0.5"</v>
      </c>
      <c r="F63" s="61" t="str">
        <f ca="1">IFERROR(__xludf.DUMMYFUNCTION("""COMPUTED_VALUE"""),"2-5.5'")</f>
        <v>2-5.5'</v>
      </c>
      <c r="G63" s="62">
        <f ca="1">IFERROR(__xludf.DUMMYFUNCTION("""COMPUTED_VALUE"""),182)</f>
        <v>182</v>
      </c>
      <c r="H63" s="63">
        <f ca="1">IFERROR(__xludf.DUMMYFUNCTION("""COMPUTED_VALUE"""),50)</f>
        <v>50</v>
      </c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2.75" x14ac:dyDescent="0.2">
      <c r="A64" s="61" t="str">
        <f ca="1">IFERROR(__xludf.DUMMYFUNCTION("""COMPUTED_VALUE"""),"Cornus amomum")</f>
        <v>Cornus amomum</v>
      </c>
      <c r="B64" s="61">
        <f ca="1">IFERROR(__xludf.DUMMYFUNCTION("""COMPUTED_VALUE"""),5)</f>
        <v>5</v>
      </c>
      <c r="C64" s="61" t="str">
        <f ca="1">IFERROR(__xludf.DUMMYFUNCTION("""COMPUTED_VALUE"""),"Silky Dogwood")</f>
        <v>Silky Dogwood</v>
      </c>
      <c r="D64" s="61" t="str">
        <f ca="1">IFERROR(__xludf.DUMMYFUNCTION("""COMPUTED_VALUE"""),"#5")</f>
        <v>#5</v>
      </c>
      <c r="E64" s="61" t="str">
        <f ca="1">IFERROR(__xludf.DUMMYFUNCTION("""COMPUTED_VALUE"""),"Multi")</f>
        <v>Multi</v>
      </c>
      <c r="F64" s="61" t="str">
        <f ca="1">IFERROR(__xludf.DUMMYFUNCTION("""COMPUTED_VALUE"""),"1.5-4.5'")</f>
        <v>1.5-4.5'</v>
      </c>
      <c r="G64" s="62">
        <f ca="1">IFERROR(__xludf.DUMMYFUNCTION("""COMPUTED_VALUE"""),7)</f>
        <v>7</v>
      </c>
      <c r="H64" s="63">
        <f ca="1">IFERROR(__xludf.DUMMYFUNCTION("""COMPUTED_VALUE"""),37)</f>
        <v>37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2.75" x14ac:dyDescent="0.2">
      <c r="A65" s="61" t="str">
        <f ca="1">IFERROR(__xludf.DUMMYFUNCTION("""COMPUTED_VALUE"""),"Cornus florida")</f>
        <v>Cornus florida</v>
      </c>
      <c r="B65" s="61">
        <f ca="1">IFERROR(__xludf.DUMMYFUNCTION("""COMPUTED_VALUE"""),5)</f>
        <v>5</v>
      </c>
      <c r="C65" s="61" t="str">
        <f ca="1">IFERROR(__xludf.DUMMYFUNCTION("""COMPUTED_VALUE"""),"White Dogwood")</f>
        <v>White Dogwood</v>
      </c>
      <c r="D65" s="61" t="str">
        <f ca="1">IFERROR(__xludf.DUMMYFUNCTION("""COMPUTED_VALUE"""),"#5")</f>
        <v>#5</v>
      </c>
      <c r="E65" s="61" t="str">
        <f ca="1">IFERROR(__xludf.DUMMYFUNCTION("""COMPUTED_VALUE"""),"0.25-1""")</f>
        <v>0.25-1"</v>
      </c>
      <c r="F65" s="61" t="str">
        <f ca="1">IFERROR(__xludf.DUMMYFUNCTION("""COMPUTED_VALUE"""),"2-7'")</f>
        <v>2-7'</v>
      </c>
      <c r="G65" s="62">
        <f ca="1">IFERROR(__xludf.DUMMYFUNCTION("""COMPUTED_VALUE"""),139)</f>
        <v>139</v>
      </c>
      <c r="H65" s="63">
        <f ca="1">IFERROR(__xludf.DUMMYFUNCTION("""COMPUTED_VALUE"""),50)</f>
        <v>50</v>
      </c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2.75" x14ac:dyDescent="0.2">
      <c r="A66" s="61" t="str">
        <f ca="1">IFERROR(__xludf.DUMMYFUNCTION("""COMPUTED_VALUE"""),"Cornus florida")</f>
        <v>Cornus florida</v>
      </c>
      <c r="B66" s="61">
        <f ca="1">IFERROR(__xludf.DUMMYFUNCTION("""COMPUTED_VALUE"""),7)</f>
        <v>7</v>
      </c>
      <c r="C66" s="61" t="str">
        <f ca="1">IFERROR(__xludf.DUMMYFUNCTION("""COMPUTED_VALUE"""),"White Dogwood")</f>
        <v>White Dogwood</v>
      </c>
      <c r="D66" s="61" t="str">
        <f ca="1">IFERROR(__xludf.DUMMYFUNCTION("""COMPUTED_VALUE"""),"#7")</f>
        <v>#7</v>
      </c>
      <c r="E66" s="61" t="str">
        <f ca="1">IFERROR(__xludf.DUMMYFUNCTION("""COMPUTED_VALUE"""),"0.75-1""")</f>
        <v>0.75-1"</v>
      </c>
      <c r="F66" s="61" t="str">
        <f ca="1">IFERROR(__xludf.DUMMYFUNCTION("""COMPUTED_VALUE"""),"4-7'")</f>
        <v>4-7'</v>
      </c>
      <c r="G66" s="62">
        <f ca="1">IFERROR(__xludf.DUMMYFUNCTION("""COMPUTED_VALUE"""),121)</f>
        <v>121</v>
      </c>
      <c r="H66" s="63">
        <f ca="1">IFERROR(__xludf.DUMMYFUNCTION("""COMPUTED_VALUE"""),70)</f>
        <v>70</v>
      </c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2.75" x14ac:dyDescent="0.2">
      <c r="A67" s="61" t="str">
        <f ca="1">IFERROR(__xludf.DUMMYFUNCTION("""COMPUTED_VALUE"""),"Cornus florida 'Cherokee Brave'")</f>
        <v>Cornus florida 'Cherokee Brave'</v>
      </c>
      <c r="B67" s="61">
        <f ca="1">IFERROR(__xludf.DUMMYFUNCTION("""COMPUTED_VALUE"""),5)</f>
        <v>5</v>
      </c>
      <c r="C67" s="61" t="str">
        <f ca="1">IFERROR(__xludf.DUMMYFUNCTION("""COMPUTED_VALUE"""),"Cherokee Brave Dogwood")</f>
        <v>Cherokee Brave Dogwood</v>
      </c>
      <c r="D67" s="61" t="str">
        <f ca="1">IFERROR(__xludf.DUMMYFUNCTION("""COMPUTED_VALUE"""),"#5")</f>
        <v>#5</v>
      </c>
      <c r="E67" s="61" t="str">
        <f ca="1">IFERROR(__xludf.DUMMYFUNCTION("""COMPUTED_VALUE"""),"0.25-1""")</f>
        <v>0.25-1"</v>
      </c>
      <c r="F67" s="61" t="str">
        <f ca="1">IFERROR(__xludf.DUMMYFUNCTION("""COMPUTED_VALUE"""),"3-5.5'")</f>
        <v>3-5.5'</v>
      </c>
      <c r="G67" s="62">
        <f ca="1">IFERROR(__xludf.DUMMYFUNCTION("""COMPUTED_VALUE"""),36)</f>
        <v>36</v>
      </c>
      <c r="H67" s="63">
        <f ca="1">IFERROR(__xludf.DUMMYFUNCTION("""COMPUTED_VALUE"""),50)</f>
        <v>50</v>
      </c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2.75" x14ac:dyDescent="0.2">
      <c r="A68" s="61" t="str">
        <f ca="1">IFERROR(__xludf.DUMMYFUNCTION("""COMPUTED_VALUE"""),"Cornus kousa")</f>
        <v>Cornus kousa</v>
      </c>
      <c r="B68" s="61">
        <f ca="1">IFERROR(__xludf.DUMMYFUNCTION("""COMPUTED_VALUE"""),10)</f>
        <v>10</v>
      </c>
      <c r="C68" s="61" t="str">
        <f ca="1">IFERROR(__xludf.DUMMYFUNCTION("""COMPUTED_VALUE"""),"Kousa Dogwood")</f>
        <v>Kousa Dogwood</v>
      </c>
      <c r="D68" s="61" t="str">
        <f ca="1">IFERROR(__xludf.DUMMYFUNCTION("""COMPUTED_VALUE"""),"#10")</f>
        <v>#10</v>
      </c>
      <c r="E68" s="61" t="str">
        <f ca="1">IFERROR(__xludf.DUMMYFUNCTION("""COMPUTED_VALUE"""),"1.5-1.5""")</f>
        <v>1.5-1.5"</v>
      </c>
      <c r="F68" s="61" t="str">
        <f ca="1">IFERROR(__xludf.DUMMYFUNCTION("""COMPUTED_VALUE"""),"7-7'")</f>
        <v>7-7'</v>
      </c>
      <c r="G68" s="62">
        <f ca="1">IFERROR(__xludf.DUMMYFUNCTION("""COMPUTED_VALUE"""),1)</f>
        <v>1</v>
      </c>
      <c r="H68" s="63">
        <f ca="1">IFERROR(__xludf.DUMMYFUNCTION("""COMPUTED_VALUE"""),100)</f>
        <v>100</v>
      </c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2.75" x14ac:dyDescent="0.2">
      <c r="A69" s="61" t="str">
        <f ca="1">IFERROR(__xludf.DUMMYFUNCTION("""COMPUTED_VALUE"""),"Cornus kousa")</f>
        <v>Cornus kousa</v>
      </c>
      <c r="B69" s="61">
        <f ca="1">IFERROR(__xludf.DUMMYFUNCTION("""COMPUTED_VALUE"""),15)</f>
        <v>15</v>
      </c>
      <c r="C69" s="61" t="str">
        <f ca="1">IFERROR(__xludf.DUMMYFUNCTION("""COMPUTED_VALUE"""),"Kousa Dogwood")</f>
        <v>Kousa Dogwood</v>
      </c>
      <c r="D69" s="61" t="str">
        <f ca="1">IFERROR(__xludf.DUMMYFUNCTION("""COMPUTED_VALUE"""),"#15")</f>
        <v>#15</v>
      </c>
      <c r="E69" s="61" t="str">
        <f ca="1">IFERROR(__xludf.DUMMYFUNCTION("""COMPUTED_VALUE"""),"0.75-1""")</f>
        <v>0.75-1"</v>
      </c>
      <c r="F69" s="61" t="str">
        <f ca="1">IFERROR(__xludf.DUMMYFUNCTION("""COMPUTED_VALUE"""),"5-7'")</f>
        <v>5-7'</v>
      </c>
      <c r="G69" s="62">
        <f ca="1">IFERROR(__xludf.DUMMYFUNCTION("""COMPUTED_VALUE"""),14)</f>
        <v>14</v>
      </c>
      <c r="H69" s="63">
        <f ca="1">IFERROR(__xludf.DUMMYFUNCTION("""COMPUTED_VALUE"""),135)</f>
        <v>135</v>
      </c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2.75" x14ac:dyDescent="0.2">
      <c r="A70" s="61" t="str">
        <f ca="1">IFERROR(__xludf.DUMMYFUNCTION("""COMPUTED_VALUE"""),"Cornus kousa 'Rutpink'")</f>
        <v>Cornus kousa 'Rutpink'</v>
      </c>
      <c r="B70" s="61">
        <f ca="1">IFERROR(__xludf.DUMMYFUNCTION("""COMPUTED_VALUE"""),7)</f>
        <v>7</v>
      </c>
      <c r="C70" s="61" t="str">
        <f ca="1">IFERROR(__xludf.DUMMYFUNCTION("""COMPUTED_VALUE"""),"Scarlet Fire Dogwood")</f>
        <v>Scarlet Fire Dogwood</v>
      </c>
      <c r="D70" s="61" t="str">
        <f ca="1">IFERROR(__xludf.DUMMYFUNCTION("""COMPUTED_VALUE"""),"#7")</f>
        <v>#7</v>
      </c>
      <c r="E70" s="61" t="str">
        <f ca="1">IFERROR(__xludf.DUMMYFUNCTION("""COMPUTED_VALUE"""),"0.5-1.25""")</f>
        <v>0.5-1.25"</v>
      </c>
      <c r="F70" s="61" t="str">
        <f ca="1">IFERROR(__xludf.DUMMYFUNCTION("""COMPUTED_VALUE"""),"4-9'")</f>
        <v>4-9'</v>
      </c>
      <c r="G70" s="62">
        <f ca="1">IFERROR(__xludf.DUMMYFUNCTION("""COMPUTED_VALUE"""),51)</f>
        <v>51</v>
      </c>
      <c r="H70" s="63">
        <f ca="1">IFERROR(__xludf.DUMMYFUNCTION("""COMPUTED_VALUE"""),70)</f>
        <v>70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2.75" x14ac:dyDescent="0.2">
      <c r="A71" s="61" t="str">
        <f ca="1">IFERROR(__xludf.DUMMYFUNCTION("""COMPUTED_VALUE"""),"Cornus kousa 'Rutpink'")</f>
        <v>Cornus kousa 'Rutpink'</v>
      </c>
      <c r="B71" s="61">
        <f ca="1">IFERROR(__xludf.DUMMYFUNCTION("""COMPUTED_VALUE"""),10)</f>
        <v>10</v>
      </c>
      <c r="C71" s="61" t="str">
        <f ca="1">IFERROR(__xludf.DUMMYFUNCTION("""COMPUTED_VALUE"""),"Scarlet Fire Dogwood")</f>
        <v>Scarlet Fire Dogwood</v>
      </c>
      <c r="D71" s="61" t="str">
        <f ca="1">IFERROR(__xludf.DUMMYFUNCTION("""COMPUTED_VALUE"""),"#10")</f>
        <v>#10</v>
      </c>
      <c r="E71" s="61" t="str">
        <f ca="1">IFERROR(__xludf.DUMMYFUNCTION("""COMPUTED_VALUE"""),"1.25-1.5""")</f>
        <v>1.25-1.5"</v>
      </c>
      <c r="F71" s="61" t="str">
        <f ca="1">IFERROR(__xludf.DUMMYFUNCTION("""COMPUTED_VALUE"""),"6.5-9.5'")</f>
        <v>6.5-9.5'</v>
      </c>
      <c r="G71" s="62">
        <f ca="1">IFERROR(__xludf.DUMMYFUNCTION("""COMPUTED_VALUE"""),1)</f>
        <v>1</v>
      </c>
      <c r="H71" s="63">
        <f ca="1">IFERROR(__xludf.DUMMYFUNCTION("""COMPUTED_VALUE"""),100)</f>
        <v>100</v>
      </c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2.75" x14ac:dyDescent="0.2">
      <c r="A72" s="61" t="str">
        <f ca="1">IFERROR(__xludf.DUMMYFUNCTION("""COMPUTED_VALUE"""),"Cornus racemosa")</f>
        <v>Cornus racemosa</v>
      </c>
      <c r="B72" s="61">
        <f ca="1">IFERROR(__xludf.DUMMYFUNCTION("""COMPUTED_VALUE"""),5)</f>
        <v>5</v>
      </c>
      <c r="C72" s="61" t="str">
        <f ca="1">IFERROR(__xludf.DUMMYFUNCTION("""COMPUTED_VALUE"""),"Gray Dogwood")</f>
        <v>Gray Dogwood</v>
      </c>
      <c r="D72" s="61" t="str">
        <f ca="1">IFERROR(__xludf.DUMMYFUNCTION("""COMPUTED_VALUE"""),"#5")</f>
        <v>#5</v>
      </c>
      <c r="E72" s="61" t="str">
        <f ca="1">IFERROR(__xludf.DUMMYFUNCTION("""COMPUTED_VALUE"""),"0.25-0.25""")</f>
        <v>0.25-0.25"</v>
      </c>
      <c r="F72" s="61" t="str">
        <f ca="1">IFERROR(__xludf.DUMMYFUNCTION("""COMPUTED_VALUE"""),"2-3.5'")</f>
        <v>2-3.5'</v>
      </c>
      <c r="G72" s="62">
        <f ca="1">IFERROR(__xludf.DUMMYFUNCTION("""COMPUTED_VALUE"""),10)</f>
        <v>10</v>
      </c>
      <c r="H72" s="63">
        <f ca="1">IFERROR(__xludf.DUMMYFUNCTION("""COMPUTED_VALUE"""),37)</f>
        <v>37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2.75" x14ac:dyDescent="0.2">
      <c r="A73" s="61" t="str">
        <f ca="1">IFERROR(__xludf.DUMMYFUNCTION("""COMPUTED_VALUE"""),"Cornus racemosa")</f>
        <v>Cornus racemosa</v>
      </c>
      <c r="B73" s="61">
        <f ca="1">IFERROR(__xludf.DUMMYFUNCTION("""COMPUTED_VALUE"""),5)</f>
        <v>5</v>
      </c>
      <c r="C73" s="61" t="str">
        <f ca="1">IFERROR(__xludf.DUMMYFUNCTION("""COMPUTED_VALUE"""),"Gray Dogwood")</f>
        <v>Gray Dogwood</v>
      </c>
      <c r="D73" s="61" t="str">
        <f ca="1">IFERROR(__xludf.DUMMYFUNCTION("""COMPUTED_VALUE"""),"#5")</f>
        <v>#5</v>
      </c>
      <c r="E73" s="61" t="str">
        <f ca="1">IFERROR(__xludf.DUMMYFUNCTION("""COMPUTED_VALUE"""),"Multi")</f>
        <v>Multi</v>
      </c>
      <c r="F73" s="61" t="str">
        <f ca="1">IFERROR(__xludf.DUMMYFUNCTION("""COMPUTED_VALUE"""),"2-3.5'")</f>
        <v>2-3.5'</v>
      </c>
      <c r="G73" s="62">
        <f ca="1">IFERROR(__xludf.DUMMYFUNCTION("""COMPUTED_VALUE"""),1)</f>
        <v>1</v>
      </c>
      <c r="H73" s="63">
        <f ca="1">IFERROR(__xludf.DUMMYFUNCTION("""COMPUTED_VALUE"""),37)</f>
        <v>37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2.75" x14ac:dyDescent="0.2">
      <c r="A74" s="61" t="str">
        <f ca="1">IFERROR(__xludf.DUMMYFUNCTION("""COMPUTED_VALUE"""),"Cornus sericea")</f>
        <v>Cornus sericea</v>
      </c>
      <c r="B74" s="61">
        <f ca="1">IFERROR(__xludf.DUMMYFUNCTION("""COMPUTED_VALUE"""),5)</f>
        <v>5</v>
      </c>
      <c r="C74" s="61" t="str">
        <f ca="1">IFERROR(__xludf.DUMMYFUNCTION("""COMPUTED_VALUE"""),"Red Twig Dogwood")</f>
        <v>Red Twig Dogwood</v>
      </c>
      <c r="D74" s="61" t="str">
        <f ca="1">IFERROR(__xludf.DUMMYFUNCTION("""COMPUTED_VALUE"""),"#5")</f>
        <v>#5</v>
      </c>
      <c r="E74" s="61" t="str">
        <f ca="1">IFERROR(__xludf.DUMMYFUNCTION("""COMPUTED_VALUE"""),"0.5-0.5""")</f>
        <v>0.5-0.5"</v>
      </c>
      <c r="F74" s="61" t="str">
        <f ca="1">IFERROR(__xludf.DUMMYFUNCTION("""COMPUTED_VALUE"""),"2-3.5'")</f>
        <v>2-3.5'</v>
      </c>
      <c r="G74" s="62">
        <f ca="1">IFERROR(__xludf.DUMMYFUNCTION("""COMPUTED_VALUE"""),1)</f>
        <v>1</v>
      </c>
      <c r="H74" s="63">
        <f ca="1">IFERROR(__xludf.DUMMYFUNCTION("""COMPUTED_VALUE"""),37)</f>
        <v>37</v>
      </c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2.75" x14ac:dyDescent="0.2">
      <c r="A75" s="61" t="str">
        <f ca="1">IFERROR(__xludf.DUMMYFUNCTION("""COMPUTED_VALUE"""),"Cornus sericea")</f>
        <v>Cornus sericea</v>
      </c>
      <c r="B75" s="61">
        <f ca="1">IFERROR(__xludf.DUMMYFUNCTION("""COMPUTED_VALUE"""),5)</f>
        <v>5</v>
      </c>
      <c r="C75" s="61" t="str">
        <f ca="1">IFERROR(__xludf.DUMMYFUNCTION("""COMPUTED_VALUE"""),"Red Twig Dogwood")</f>
        <v>Red Twig Dogwood</v>
      </c>
      <c r="D75" s="61" t="str">
        <f ca="1">IFERROR(__xludf.DUMMYFUNCTION("""COMPUTED_VALUE"""),"#5")</f>
        <v>#5</v>
      </c>
      <c r="E75" s="61" t="str">
        <f ca="1">IFERROR(__xludf.DUMMYFUNCTION("""COMPUTED_VALUE"""),"Multi")</f>
        <v>Multi</v>
      </c>
      <c r="F75" s="61" t="str">
        <f ca="1">IFERROR(__xludf.DUMMYFUNCTION("""COMPUTED_VALUE"""),"2-3.5'")</f>
        <v>2-3.5'</v>
      </c>
      <c r="G75" s="62">
        <f ca="1">IFERROR(__xludf.DUMMYFUNCTION("""COMPUTED_VALUE"""),19)</f>
        <v>19</v>
      </c>
      <c r="H75" s="63">
        <f ca="1">IFERROR(__xludf.DUMMYFUNCTION("""COMPUTED_VALUE"""),37)</f>
        <v>37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2.75" x14ac:dyDescent="0.2">
      <c r="A76" s="61" t="str">
        <f ca="1">IFERROR(__xludf.DUMMYFUNCTION("""COMPUTED_VALUE"""),"Cornus x 'Rutgan' Stellar Pink")</f>
        <v>Cornus x 'Rutgan' Stellar Pink</v>
      </c>
      <c r="B76" s="61">
        <f ca="1">IFERROR(__xludf.DUMMYFUNCTION("""COMPUTED_VALUE"""),10)</f>
        <v>10</v>
      </c>
      <c r="C76" s="61" t="str">
        <f ca="1">IFERROR(__xludf.DUMMYFUNCTION("""COMPUTED_VALUE"""),"Stellar Pink Dogwood")</f>
        <v>Stellar Pink Dogwood</v>
      </c>
      <c r="D76" s="61" t="str">
        <f ca="1">IFERROR(__xludf.DUMMYFUNCTION("""COMPUTED_VALUE"""),"#10")</f>
        <v>#10</v>
      </c>
      <c r="E76" s="61" t="str">
        <f ca="1">IFERROR(__xludf.DUMMYFUNCTION("""COMPUTED_VALUE"""),"0.5-1.75""")</f>
        <v>0.5-1.75"</v>
      </c>
      <c r="F76" s="61" t="str">
        <f ca="1">IFERROR(__xludf.DUMMYFUNCTION("""COMPUTED_VALUE"""),"3.5-11'")</f>
        <v>3.5-11'</v>
      </c>
      <c r="G76" s="62">
        <f ca="1">IFERROR(__xludf.DUMMYFUNCTION("""COMPUTED_VALUE"""),22)</f>
        <v>22</v>
      </c>
      <c r="H76" s="63">
        <f ca="1">IFERROR(__xludf.DUMMYFUNCTION("""COMPUTED_VALUE"""),100)</f>
        <v>100</v>
      </c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2.75" x14ac:dyDescent="0.2">
      <c r="A77" s="61" t="str">
        <f ca="1">IFERROR(__xludf.DUMMYFUNCTION("""COMPUTED_VALUE"""),"Cornus x Rutcan 'Constellation'")</f>
        <v>Cornus x Rutcan 'Constellation'</v>
      </c>
      <c r="B77" s="61">
        <f ca="1">IFERROR(__xludf.DUMMYFUNCTION("""COMPUTED_VALUE"""),10)</f>
        <v>10</v>
      </c>
      <c r="C77" s="61" t="str">
        <f ca="1">IFERROR(__xludf.DUMMYFUNCTION("""COMPUTED_VALUE"""),"Constellation Dogwood")</f>
        <v>Constellation Dogwood</v>
      </c>
      <c r="D77" s="61" t="str">
        <f ca="1">IFERROR(__xludf.DUMMYFUNCTION("""COMPUTED_VALUE"""),"#10")</f>
        <v>#10</v>
      </c>
      <c r="E77" s="61" t="str">
        <f ca="1">IFERROR(__xludf.DUMMYFUNCTION("""COMPUTED_VALUE"""),"1-1.25""")</f>
        <v>1-1.25"</v>
      </c>
      <c r="F77" s="61" t="str">
        <f ca="1">IFERROR(__xludf.DUMMYFUNCTION("""COMPUTED_VALUE"""),"7-10'")</f>
        <v>7-10'</v>
      </c>
      <c r="G77" s="62">
        <f ca="1">IFERROR(__xludf.DUMMYFUNCTION("""COMPUTED_VALUE"""),9)</f>
        <v>9</v>
      </c>
      <c r="H77" s="63">
        <f ca="1">IFERROR(__xludf.DUMMYFUNCTION("""COMPUTED_VALUE"""),100)</f>
        <v>100</v>
      </c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2.75" x14ac:dyDescent="0.2">
      <c r="A78" s="61" t="str">
        <f ca="1">IFERROR(__xludf.DUMMYFUNCTION("""COMPUTED_VALUE"""),"Cornus x Rutcan 'Constellation'")</f>
        <v>Cornus x Rutcan 'Constellation'</v>
      </c>
      <c r="B78" s="61">
        <f ca="1">IFERROR(__xludf.DUMMYFUNCTION("""COMPUTED_VALUE"""),15)</f>
        <v>15</v>
      </c>
      <c r="C78" s="61" t="str">
        <f ca="1">IFERROR(__xludf.DUMMYFUNCTION("""COMPUTED_VALUE"""),"Constellation Dogwood")</f>
        <v>Constellation Dogwood</v>
      </c>
      <c r="D78" s="61" t="str">
        <f ca="1">IFERROR(__xludf.DUMMYFUNCTION("""COMPUTED_VALUE"""),"#15")</f>
        <v>#15</v>
      </c>
      <c r="E78" s="61" t="str">
        <f ca="1">IFERROR(__xludf.DUMMYFUNCTION("""COMPUTED_VALUE"""),"1-1.5""")</f>
        <v>1-1.5"</v>
      </c>
      <c r="F78" s="61" t="str">
        <f ca="1">IFERROR(__xludf.DUMMYFUNCTION("""COMPUTED_VALUE"""),"8-9'")</f>
        <v>8-9'</v>
      </c>
      <c r="G78" s="62">
        <f ca="1">IFERROR(__xludf.DUMMYFUNCTION("""COMPUTED_VALUE"""),25)</f>
        <v>25</v>
      </c>
      <c r="H78" s="63">
        <f ca="1">IFERROR(__xludf.DUMMYFUNCTION("""COMPUTED_VALUE"""),135)</f>
        <v>135</v>
      </c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2.75" x14ac:dyDescent="0.2">
      <c r="A79" s="61" t="str">
        <f ca="1">IFERROR(__xludf.DUMMYFUNCTION("""COMPUTED_VALUE"""),"Cotinus coggygria 'Royal Purple'")</f>
        <v>Cotinus coggygria 'Royal Purple'</v>
      </c>
      <c r="B79" s="61">
        <f ca="1">IFERROR(__xludf.DUMMYFUNCTION("""COMPUTED_VALUE"""),5)</f>
        <v>5</v>
      </c>
      <c r="C79" s="61" t="str">
        <f ca="1">IFERROR(__xludf.DUMMYFUNCTION("""COMPUTED_VALUE"""),"Royal Purple Smokebush")</f>
        <v>Royal Purple Smokebush</v>
      </c>
      <c r="D79" s="61" t="str">
        <f ca="1">IFERROR(__xludf.DUMMYFUNCTION("""COMPUTED_VALUE"""),"#5")</f>
        <v>#5</v>
      </c>
      <c r="E79" s="61" t="str">
        <f ca="1">IFERROR(__xludf.DUMMYFUNCTION("""COMPUTED_VALUE"""),"Multi")</f>
        <v>Multi</v>
      </c>
      <c r="F79" s="61" t="str">
        <f ca="1">IFERROR(__xludf.DUMMYFUNCTION("""COMPUTED_VALUE"""),"8-11'")</f>
        <v>8-11'</v>
      </c>
      <c r="G79" s="62">
        <f ca="1">IFERROR(__xludf.DUMMYFUNCTION("""COMPUTED_VALUE"""),4)</f>
        <v>4</v>
      </c>
      <c r="H79" s="63">
        <f ca="1">IFERROR(__xludf.DUMMYFUNCTION("""COMPUTED_VALUE"""),50)</f>
        <v>50</v>
      </c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2.75" x14ac:dyDescent="0.2">
      <c r="A80" s="61" t="str">
        <f ca="1">IFERROR(__xludf.DUMMYFUNCTION("""COMPUTED_VALUE"""),"Cotinus obovatus")</f>
        <v>Cotinus obovatus</v>
      </c>
      <c r="B80" s="61">
        <f ca="1">IFERROR(__xludf.DUMMYFUNCTION("""COMPUTED_VALUE"""),5)</f>
        <v>5</v>
      </c>
      <c r="C80" s="61" t="str">
        <f ca="1">IFERROR(__xludf.DUMMYFUNCTION("""COMPUTED_VALUE"""),"Smokebush (Native)")</f>
        <v>Smokebush (Native)</v>
      </c>
      <c r="D80" s="61" t="str">
        <f ca="1">IFERROR(__xludf.DUMMYFUNCTION("""COMPUTED_VALUE"""),"#5")</f>
        <v>#5</v>
      </c>
      <c r="E80" s="61" t="str">
        <f ca="1">IFERROR(__xludf.DUMMYFUNCTION("""COMPUTED_VALUE"""),"0.75-1""")</f>
        <v>0.75-1"</v>
      </c>
      <c r="F80" s="61" t="str">
        <f ca="1">IFERROR(__xludf.DUMMYFUNCTION("""COMPUTED_VALUE"""),"7-12'")</f>
        <v>7-12'</v>
      </c>
      <c r="G80" s="62">
        <f ca="1">IFERROR(__xludf.DUMMYFUNCTION("""COMPUTED_VALUE"""),13)</f>
        <v>13</v>
      </c>
      <c r="H80" s="63">
        <f ca="1">IFERROR(__xludf.DUMMYFUNCTION("""COMPUTED_VALUE"""),50)</f>
        <v>50</v>
      </c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2.75" x14ac:dyDescent="0.2">
      <c r="A81" s="61" t="str">
        <f ca="1">IFERROR(__xludf.DUMMYFUNCTION("""COMPUTED_VALUE"""),"Crataegus marshallii")</f>
        <v>Crataegus marshallii</v>
      </c>
      <c r="B81" s="61">
        <f ca="1">IFERROR(__xludf.DUMMYFUNCTION("""COMPUTED_VALUE"""),5)</f>
        <v>5</v>
      </c>
      <c r="C81" s="61" t="str">
        <f ca="1">IFERROR(__xludf.DUMMYFUNCTION("""COMPUTED_VALUE"""),"Parsley Hawthorn")</f>
        <v>Parsley Hawthorn</v>
      </c>
      <c r="D81" s="61" t="str">
        <f ca="1">IFERROR(__xludf.DUMMYFUNCTION("""COMPUTED_VALUE"""),"#5")</f>
        <v>#5</v>
      </c>
      <c r="E81" s="61" t="str">
        <f ca="1">IFERROR(__xludf.DUMMYFUNCTION("""COMPUTED_VALUE"""),"0.5-1""")</f>
        <v>0.5-1"</v>
      </c>
      <c r="F81" s="61" t="str">
        <f ca="1">IFERROR(__xludf.DUMMYFUNCTION("""COMPUTED_VALUE"""),"3-8'")</f>
        <v>3-8'</v>
      </c>
      <c r="G81" s="62">
        <f ca="1">IFERROR(__xludf.DUMMYFUNCTION("""COMPUTED_VALUE"""),32)</f>
        <v>32</v>
      </c>
      <c r="H81" s="63">
        <f ca="1">IFERROR(__xludf.DUMMYFUNCTION("""COMPUTED_VALUE"""),50)</f>
        <v>50</v>
      </c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2.75" x14ac:dyDescent="0.2">
      <c r="A82" s="61" t="str">
        <f ca="1">IFERROR(__xludf.DUMMYFUNCTION("""COMPUTED_VALUE"""),"Crataegus viridis 'Winter King'")</f>
        <v>Crataegus viridis 'Winter King'</v>
      </c>
      <c r="B82" s="61">
        <f ca="1">IFERROR(__xludf.DUMMYFUNCTION("""COMPUTED_VALUE"""),5)</f>
        <v>5</v>
      </c>
      <c r="C82" s="61" t="str">
        <f ca="1">IFERROR(__xludf.DUMMYFUNCTION("""COMPUTED_VALUE"""),"Winter King Hawthorn")</f>
        <v>Winter King Hawthorn</v>
      </c>
      <c r="D82" s="61" t="str">
        <f ca="1">IFERROR(__xludf.DUMMYFUNCTION("""COMPUTED_VALUE"""),"#5")</f>
        <v>#5</v>
      </c>
      <c r="E82" s="61" t="str">
        <f ca="1">IFERROR(__xludf.DUMMYFUNCTION("""COMPUTED_VALUE"""),"0.75-1""")</f>
        <v>0.75-1"</v>
      </c>
      <c r="F82" s="61" t="str">
        <f ca="1">IFERROR(__xludf.DUMMYFUNCTION("""COMPUTED_VALUE"""),"7-9'")</f>
        <v>7-9'</v>
      </c>
      <c r="G82" s="62">
        <f ca="1">IFERROR(__xludf.DUMMYFUNCTION("""COMPUTED_VALUE"""),1)</f>
        <v>1</v>
      </c>
      <c r="H82" s="63">
        <f ca="1">IFERROR(__xludf.DUMMYFUNCTION("""COMPUTED_VALUE"""),70)</f>
        <v>70</v>
      </c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2.75" x14ac:dyDescent="0.2">
      <c r="A83" s="61" t="str">
        <f ca="1">IFERROR(__xludf.DUMMYFUNCTION("""COMPUTED_VALUE"""),"Crataegus viridis 'Winter King'")</f>
        <v>Crataegus viridis 'Winter King'</v>
      </c>
      <c r="B83" s="61">
        <f ca="1">IFERROR(__xludf.DUMMYFUNCTION("""COMPUTED_VALUE"""),10)</f>
        <v>10</v>
      </c>
      <c r="C83" s="61" t="str">
        <f ca="1">IFERROR(__xludf.DUMMYFUNCTION("""COMPUTED_VALUE"""),"Winter King Hawthorn")</f>
        <v>Winter King Hawthorn</v>
      </c>
      <c r="D83" s="61" t="str">
        <f ca="1">IFERROR(__xludf.DUMMYFUNCTION("""COMPUTED_VALUE"""),"#10")</f>
        <v>#10</v>
      </c>
      <c r="E83" s="61" t="str">
        <f ca="1">IFERROR(__xludf.DUMMYFUNCTION("""COMPUTED_VALUE"""),"0.75-1""")</f>
        <v>0.75-1"</v>
      </c>
      <c r="F83" s="61" t="str">
        <f ca="1">IFERROR(__xludf.DUMMYFUNCTION("""COMPUTED_VALUE"""),"6-7.5'")</f>
        <v>6-7.5'</v>
      </c>
      <c r="G83" s="62">
        <f ca="1">IFERROR(__xludf.DUMMYFUNCTION("""COMPUTED_VALUE"""),11)</f>
        <v>11</v>
      </c>
      <c r="H83" s="63">
        <f ca="1">IFERROR(__xludf.DUMMYFUNCTION("""COMPUTED_VALUE"""),100)</f>
        <v>100</v>
      </c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2.75" x14ac:dyDescent="0.2">
      <c r="A84" s="61" t="str">
        <f ca="1">IFERROR(__xludf.DUMMYFUNCTION("""COMPUTED_VALUE"""),"Crataegus viridis 'Winter King'")</f>
        <v>Crataegus viridis 'Winter King'</v>
      </c>
      <c r="B84" s="61">
        <f ca="1">IFERROR(__xludf.DUMMYFUNCTION("""COMPUTED_VALUE"""),15)</f>
        <v>15</v>
      </c>
      <c r="C84" s="61" t="str">
        <f ca="1">IFERROR(__xludf.DUMMYFUNCTION("""COMPUTED_VALUE"""),"Winter King Hawthorn")</f>
        <v>Winter King Hawthorn</v>
      </c>
      <c r="D84" s="61" t="str">
        <f ca="1">IFERROR(__xludf.DUMMYFUNCTION("""COMPUTED_VALUE"""),"#15")</f>
        <v>#15</v>
      </c>
      <c r="E84" s="61" t="str">
        <f ca="1">IFERROR(__xludf.DUMMYFUNCTION("""COMPUTED_VALUE"""),"1-1.5""")</f>
        <v>1-1.5"</v>
      </c>
      <c r="F84" s="61" t="str">
        <f ca="1">IFERROR(__xludf.DUMMYFUNCTION("""COMPUTED_VALUE"""),"9-11'")</f>
        <v>9-11'</v>
      </c>
      <c r="G84" s="62">
        <f ca="1">IFERROR(__xludf.DUMMYFUNCTION("""COMPUTED_VALUE"""),30)</f>
        <v>30</v>
      </c>
      <c r="H84" s="63">
        <f ca="1">IFERROR(__xludf.DUMMYFUNCTION("""COMPUTED_VALUE"""),135)</f>
        <v>135</v>
      </c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2.75" x14ac:dyDescent="0.2">
      <c r="A85" s="61" t="str">
        <f ca="1">IFERROR(__xludf.DUMMYFUNCTION("""COMPUTED_VALUE"""),"Cryptomeria japonica 'Yoshino'")</f>
        <v>Cryptomeria japonica 'Yoshino'</v>
      </c>
      <c r="B85" s="61" t="str">
        <f ca="1">IFERROR(__xludf.DUMMYFUNCTION("""COMPUTED_VALUE"""),"10")</f>
        <v>10</v>
      </c>
      <c r="C85" s="61" t="str">
        <f ca="1">IFERROR(__xludf.DUMMYFUNCTION("""COMPUTED_VALUE"""),"Yoshino Cryptomeria")</f>
        <v>Yoshino Cryptomeria</v>
      </c>
      <c r="D85" s="61" t="str">
        <f ca="1">IFERROR(__xludf.DUMMYFUNCTION("""COMPUTED_VALUE"""),"#10")</f>
        <v>#10</v>
      </c>
      <c r="E85" s="61" t="str">
        <f ca="1">IFERROR(__xludf.DUMMYFUNCTION("""COMPUTED_VALUE"""),"0.5-0.75""")</f>
        <v>0.5-0.75"</v>
      </c>
      <c r="F85" s="61" t="str">
        <f ca="1">IFERROR(__xludf.DUMMYFUNCTION("""COMPUTED_VALUE"""),"3-4'")</f>
        <v>3-4'</v>
      </c>
      <c r="G85" s="62">
        <f ca="1">IFERROR(__xludf.DUMMYFUNCTION("""COMPUTED_VALUE"""),1)</f>
        <v>1</v>
      </c>
      <c r="H85" s="63">
        <f ca="1">IFERROR(__xludf.DUMMYFUNCTION("""COMPUTED_VALUE"""),100)</f>
        <v>100</v>
      </c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2.75" x14ac:dyDescent="0.2">
      <c r="A86" s="61" t="str">
        <f ca="1">IFERROR(__xludf.DUMMYFUNCTION("""COMPUTED_VALUE"""),"Diospyros virginiana")</f>
        <v>Diospyros virginiana</v>
      </c>
      <c r="B86" s="61">
        <f ca="1">IFERROR(__xludf.DUMMYFUNCTION("""COMPUTED_VALUE"""),5)</f>
        <v>5</v>
      </c>
      <c r="C86" s="61" t="str">
        <f ca="1">IFERROR(__xludf.DUMMYFUNCTION("""COMPUTED_VALUE"""),"American Persimmon")</f>
        <v>American Persimmon</v>
      </c>
      <c r="D86" s="61" t="str">
        <f ca="1">IFERROR(__xludf.DUMMYFUNCTION("""COMPUTED_VALUE"""),"#5")</f>
        <v>#5</v>
      </c>
      <c r="E86" s="61" t="str">
        <f ca="1">IFERROR(__xludf.DUMMYFUNCTION("""COMPUTED_VALUE"""),"0.25-1""")</f>
        <v>0.25-1"</v>
      </c>
      <c r="F86" s="61" t="str">
        <f ca="1">IFERROR(__xludf.DUMMYFUNCTION("""COMPUTED_VALUE"""),"2-7'")</f>
        <v>2-7'</v>
      </c>
      <c r="G86" s="62">
        <f ca="1">IFERROR(__xludf.DUMMYFUNCTION("""COMPUTED_VALUE"""),114)</f>
        <v>114</v>
      </c>
      <c r="H86" s="63">
        <f ca="1">IFERROR(__xludf.DUMMYFUNCTION("""COMPUTED_VALUE"""),50)</f>
        <v>50</v>
      </c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2.75" x14ac:dyDescent="0.2">
      <c r="A87" s="61" t="str">
        <f ca="1">IFERROR(__xludf.DUMMYFUNCTION("""COMPUTED_VALUE"""),"Euonymus americanus")</f>
        <v>Euonymus americanus</v>
      </c>
      <c r="B87" s="61">
        <f ca="1">IFERROR(__xludf.DUMMYFUNCTION("""COMPUTED_VALUE"""),5)</f>
        <v>5</v>
      </c>
      <c r="C87" s="61" t="str">
        <f ca="1">IFERROR(__xludf.DUMMYFUNCTION("""COMPUTED_VALUE"""),"Strawberry Bush")</f>
        <v>Strawberry Bush</v>
      </c>
      <c r="D87" s="61" t="str">
        <f ca="1">IFERROR(__xludf.DUMMYFUNCTION("""COMPUTED_VALUE"""),"#5")</f>
        <v>#5</v>
      </c>
      <c r="E87" s="61" t="str">
        <f ca="1">IFERROR(__xludf.DUMMYFUNCTION("""COMPUTED_VALUE"""),"Multi")</f>
        <v>Multi</v>
      </c>
      <c r="F87" s="61" t="str">
        <f ca="1">IFERROR(__xludf.DUMMYFUNCTION("""COMPUTED_VALUE"""),"0.5-0.5'")</f>
        <v>0.5-0.5'</v>
      </c>
      <c r="G87" s="62">
        <f ca="1">IFERROR(__xludf.DUMMYFUNCTION("""COMPUTED_VALUE"""),6)</f>
        <v>6</v>
      </c>
      <c r="H87" s="63">
        <f ca="1">IFERROR(__xludf.DUMMYFUNCTION("""COMPUTED_VALUE"""),50)</f>
        <v>50</v>
      </c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2.75" x14ac:dyDescent="0.2">
      <c r="A88" s="61" t="str">
        <f ca="1">IFERROR(__xludf.DUMMYFUNCTION("""COMPUTED_VALUE"""),"Fagus grandiflora")</f>
        <v>Fagus grandiflora</v>
      </c>
      <c r="B88" s="61">
        <f ca="1">IFERROR(__xludf.DUMMYFUNCTION("""COMPUTED_VALUE"""),5)</f>
        <v>5</v>
      </c>
      <c r="C88" s="61" t="str">
        <f ca="1">IFERROR(__xludf.DUMMYFUNCTION("""COMPUTED_VALUE"""),"American Beech")</f>
        <v>American Beech</v>
      </c>
      <c r="D88" s="61" t="str">
        <f ca="1">IFERROR(__xludf.DUMMYFUNCTION("""COMPUTED_VALUE"""),"#5")</f>
        <v>#5</v>
      </c>
      <c r="E88" s="61" t="str">
        <f ca="1">IFERROR(__xludf.DUMMYFUNCTION("""COMPUTED_VALUE"""),"0.75-1""")</f>
        <v>0.75-1"</v>
      </c>
      <c r="F88" s="61" t="str">
        <f ca="1">IFERROR(__xludf.DUMMYFUNCTION("""COMPUTED_VALUE"""),"4-7'")</f>
        <v>4-7'</v>
      </c>
      <c r="G88" s="62">
        <f ca="1">IFERROR(__xludf.DUMMYFUNCTION("""COMPUTED_VALUE"""),48)</f>
        <v>48</v>
      </c>
      <c r="H88" s="63">
        <f ca="1">IFERROR(__xludf.DUMMYFUNCTION("""COMPUTED_VALUE"""),70)</f>
        <v>70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2.75" x14ac:dyDescent="0.2">
      <c r="A89" s="61" t="str">
        <f ca="1">IFERROR(__xludf.DUMMYFUNCTION("""COMPUTED_VALUE"""),"Fothergilla x 'Mt. Airy'")</f>
        <v>Fothergilla x 'Mt. Airy'</v>
      </c>
      <c r="B89" s="61">
        <f ca="1">IFERROR(__xludf.DUMMYFUNCTION("""COMPUTED_VALUE"""),5)</f>
        <v>5</v>
      </c>
      <c r="C89" s="61" t="str">
        <f ca="1">IFERROR(__xludf.DUMMYFUNCTION("""COMPUTED_VALUE"""),"Mt. Airy Fothergilla")</f>
        <v>Mt. Airy Fothergilla</v>
      </c>
      <c r="D89" s="61" t="str">
        <f ca="1">IFERROR(__xludf.DUMMYFUNCTION("""COMPUTED_VALUE"""),"#5")</f>
        <v>#5</v>
      </c>
      <c r="E89" s="61" t="str">
        <f ca="1">IFERROR(__xludf.DUMMYFUNCTION("""COMPUTED_VALUE"""),"Multi")</f>
        <v>Multi</v>
      </c>
      <c r="F89" s="61" t="str">
        <f ca="1">IFERROR(__xludf.DUMMYFUNCTION("""COMPUTED_VALUE"""),"1.5-2'")</f>
        <v>1.5-2'</v>
      </c>
      <c r="G89" s="62">
        <f ca="1">IFERROR(__xludf.DUMMYFUNCTION("""COMPUTED_VALUE"""),34)</f>
        <v>34</v>
      </c>
      <c r="H89" s="63">
        <f ca="1">IFERROR(__xludf.DUMMYFUNCTION("""COMPUTED_VALUE"""),37)</f>
        <v>37</v>
      </c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2.75" x14ac:dyDescent="0.2">
      <c r="A90" s="61" t="str">
        <f ca="1">IFERROR(__xludf.DUMMYFUNCTION("""COMPUTED_VALUE"""),"Ginkgo biloba 'Autumn Gold'")</f>
        <v>Ginkgo biloba 'Autumn Gold'</v>
      </c>
      <c r="B90" s="61">
        <f ca="1">IFERROR(__xludf.DUMMYFUNCTION("""COMPUTED_VALUE"""),5)</f>
        <v>5</v>
      </c>
      <c r="C90" s="61" t="str">
        <f ca="1">IFERROR(__xludf.DUMMYFUNCTION("""COMPUTED_VALUE"""),"Autumn Gold Ginkgo")</f>
        <v>Autumn Gold Ginkgo</v>
      </c>
      <c r="D90" s="61" t="str">
        <f ca="1">IFERROR(__xludf.DUMMYFUNCTION("""COMPUTED_VALUE"""),"#5")</f>
        <v>#5</v>
      </c>
      <c r="E90" s="61" t="str">
        <f ca="1">IFERROR(__xludf.DUMMYFUNCTION("""COMPUTED_VALUE"""),"0.5-0.75""")</f>
        <v>0.5-0.75"</v>
      </c>
      <c r="F90" s="61" t="str">
        <f ca="1">IFERROR(__xludf.DUMMYFUNCTION("""COMPUTED_VALUE"""),"4-4.5'")</f>
        <v>4-4.5'</v>
      </c>
      <c r="G90" s="62">
        <f ca="1">IFERROR(__xludf.DUMMYFUNCTION("""COMPUTED_VALUE"""),1)</f>
        <v>1</v>
      </c>
      <c r="H90" s="63">
        <f ca="1">IFERROR(__xludf.DUMMYFUNCTION("""COMPUTED_VALUE"""),70)</f>
        <v>70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2.75" x14ac:dyDescent="0.2">
      <c r="A91" s="61" t="str">
        <f ca="1">IFERROR(__xludf.DUMMYFUNCTION("""COMPUTED_VALUE"""),"Ginkgo biloba 'Autumn Gold'")</f>
        <v>Ginkgo biloba 'Autumn Gold'</v>
      </c>
      <c r="B91" s="61">
        <f ca="1">IFERROR(__xludf.DUMMYFUNCTION("""COMPUTED_VALUE"""),7)</f>
        <v>7</v>
      </c>
      <c r="C91" s="61" t="str">
        <f ca="1">IFERROR(__xludf.DUMMYFUNCTION("""COMPUTED_VALUE"""),"Autumn Gold Ginkgo")</f>
        <v>Autumn Gold Ginkgo</v>
      </c>
      <c r="D91" s="61" t="str">
        <f ca="1">IFERROR(__xludf.DUMMYFUNCTION("""COMPUTED_VALUE"""),"#7")</f>
        <v>#7</v>
      </c>
      <c r="E91" s="61" t="str">
        <f ca="1">IFERROR(__xludf.DUMMYFUNCTION("""COMPUTED_VALUE"""),"0.5-0.75""")</f>
        <v>0.5-0.75"</v>
      </c>
      <c r="F91" s="61" t="str">
        <f ca="1">IFERROR(__xludf.DUMMYFUNCTION("""COMPUTED_VALUE"""),"4-7'")</f>
        <v>4-7'</v>
      </c>
      <c r="G91" s="62">
        <f ca="1">IFERROR(__xludf.DUMMYFUNCTION("""COMPUTED_VALUE"""),19)</f>
        <v>19</v>
      </c>
      <c r="H91" s="63">
        <f ca="1">IFERROR(__xludf.DUMMYFUNCTION("""COMPUTED_VALUE"""),70)</f>
        <v>70</v>
      </c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2.75" x14ac:dyDescent="0.2">
      <c r="A92" s="61" t="str">
        <f ca="1">IFERROR(__xludf.DUMMYFUNCTION("""COMPUTED_VALUE"""),"Ginkgo biloba 'Autumn Gold'")</f>
        <v>Ginkgo biloba 'Autumn Gold'</v>
      </c>
      <c r="B92" s="61">
        <f ca="1">IFERROR(__xludf.DUMMYFUNCTION("""COMPUTED_VALUE"""),15)</f>
        <v>15</v>
      </c>
      <c r="C92" s="61" t="str">
        <f ca="1">IFERROR(__xludf.DUMMYFUNCTION("""COMPUTED_VALUE"""),"Autumn Gold Ginkgo")</f>
        <v>Autumn Gold Ginkgo</v>
      </c>
      <c r="D92" s="61" t="str">
        <f ca="1">IFERROR(__xludf.DUMMYFUNCTION("""COMPUTED_VALUE"""),"#15")</f>
        <v>#15</v>
      </c>
      <c r="E92" s="61" t="str">
        <f ca="1">IFERROR(__xludf.DUMMYFUNCTION("""COMPUTED_VALUE"""),"0.75-1.25""")</f>
        <v>0.75-1.25"</v>
      </c>
      <c r="F92" s="61" t="str">
        <f ca="1">IFERROR(__xludf.DUMMYFUNCTION("""COMPUTED_VALUE"""),"7.5-9.5'")</f>
        <v>7.5-9.5'</v>
      </c>
      <c r="G92" s="62">
        <f ca="1">IFERROR(__xludf.DUMMYFUNCTION("""COMPUTED_VALUE"""),7)</f>
        <v>7</v>
      </c>
      <c r="H92" s="63">
        <f ca="1">IFERROR(__xludf.DUMMYFUNCTION("""COMPUTED_VALUE"""),135)</f>
        <v>135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2.75" x14ac:dyDescent="0.2">
      <c r="A93" s="61" t="str">
        <f ca="1">IFERROR(__xludf.DUMMYFUNCTION("""COMPUTED_VALUE"""),"Ginkgo biloba 'Magyar'")</f>
        <v>Ginkgo biloba 'Magyar'</v>
      </c>
      <c r="B93" s="61">
        <f ca="1">IFERROR(__xludf.DUMMYFUNCTION("""COMPUTED_VALUE"""),5)</f>
        <v>5</v>
      </c>
      <c r="C93" s="61" t="str">
        <f ca="1">IFERROR(__xludf.DUMMYFUNCTION("""COMPUTED_VALUE"""),"Magyar Ginkgo")</f>
        <v>Magyar Ginkgo</v>
      </c>
      <c r="D93" s="61" t="str">
        <f ca="1">IFERROR(__xludf.DUMMYFUNCTION("""COMPUTED_VALUE"""),"#5")</f>
        <v>#5</v>
      </c>
      <c r="E93" s="61" t="str">
        <f ca="1">IFERROR(__xludf.DUMMYFUNCTION("""COMPUTED_VALUE"""),"0.75-1""")</f>
        <v>0.75-1"</v>
      </c>
      <c r="F93" s="61" t="str">
        <f ca="1">IFERROR(__xludf.DUMMYFUNCTION("""COMPUTED_VALUE"""),"6-7'")</f>
        <v>6-7'</v>
      </c>
      <c r="G93" s="62">
        <f ca="1">IFERROR(__xludf.DUMMYFUNCTION("""COMPUTED_VALUE"""),5)</f>
        <v>5</v>
      </c>
      <c r="H93" s="63">
        <f ca="1">IFERROR(__xludf.DUMMYFUNCTION("""COMPUTED_VALUE"""),70)</f>
        <v>70</v>
      </c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2.75" x14ac:dyDescent="0.2">
      <c r="A94" s="61" t="str">
        <f ca="1">IFERROR(__xludf.DUMMYFUNCTION("""COMPUTED_VALUE"""),"Ginkgo biloba 'Magyar'")</f>
        <v>Ginkgo biloba 'Magyar'</v>
      </c>
      <c r="B94" s="61">
        <f ca="1">IFERROR(__xludf.DUMMYFUNCTION("""COMPUTED_VALUE"""),7)</f>
        <v>7</v>
      </c>
      <c r="C94" s="61" t="str">
        <f ca="1">IFERROR(__xludf.DUMMYFUNCTION("""COMPUTED_VALUE"""),"Magyar Ginkgo")</f>
        <v>Magyar Ginkgo</v>
      </c>
      <c r="D94" s="61" t="str">
        <f ca="1">IFERROR(__xludf.DUMMYFUNCTION("""COMPUTED_VALUE"""),"#7")</f>
        <v>#7</v>
      </c>
      <c r="E94" s="61" t="str">
        <f ca="1">IFERROR(__xludf.DUMMYFUNCTION("""COMPUTED_VALUE"""),"1-1.25""")</f>
        <v>1-1.25"</v>
      </c>
      <c r="F94" s="61" t="str">
        <f ca="1">IFERROR(__xludf.DUMMYFUNCTION("""COMPUTED_VALUE"""),"7-8'")</f>
        <v>7-8'</v>
      </c>
      <c r="G94" s="62">
        <f ca="1">IFERROR(__xludf.DUMMYFUNCTION("""COMPUTED_VALUE"""),3)</f>
        <v>3</v>
      </c>
      <c r="H94" s="63">
        <f ca="1">IFERROR(__xludf.DUMMYFUNCTION("""COMPUTED_VALUE"""),70)</f>
        <v>70</v>
      </c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2.75" x14ac:dyDescent="0.2">
      <c r="A95" s="61" t="str">
        <f ca="1">IFERROR(__xludf.DUMMYFUNCTION("""COMPUTED_VALUE"""),"Ginkgo biloba 'Magyar'")</f>
        <v>Ginkgo biloba 'Magyar'</v>
      </c>
      <c r="B95" s="61">
        <f ca="1">IFERROR(__xludf.DUMMYFUNCTION("""COMPUTED_VALUE"""),15)</f>
        <v>15</v>
      </c>
      <c r="C95" s="61" t="str">
        <f ca="1">IFERROR(__xludf.DUMMYFUNCTION("""COMPUTED_VALUE"""),"Magyar Ginkgo")</f>
        <v>Magyar Ginkgo</v>
      </c>
      <c r="D95" s="61" t="str">
        <f ca="1">IFERROR(__xludf.DUMMYFUNCTION("""COMPUTED_VALUE"""),"#15")</f>
        <v>#15</v>
      </c>
      <c r="E95" s="61" t="str">
        <f ca="1">IFERROR(__xludf.DUMMYFUNCTION("""COMPUTED_VALUE"""),"1.25-1.5""")</f>
        <v>1.25-1.5"</v>
      </c>
      <c r="F95" s="61" t="str">
        <f ca="1">IFERROR(__xludf.DUMMYFUNCTION("""COMPUTED_VALUE"""),"7-10.5'")</f>
        <v>7-10.5'</v>
      </c>
      <c r="G95" s="62">
        <f ca="1">IFERROR(__xludf.DUMMYFUNCTION("""COMPUTED_VALUE"""),7)</f>
        <v>7</v>
      </c>
      <c r="H95" s="63">
        <f ca="1">IFERROR(__xludf.DUMMYFUNCTION("""COMPUTED_VALUE"""),135)</f>
        <v>135</v>
      </c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2.75" x14ac:dyDescent="0.2">
      <c r="A96" s="61" t="str">
        <f ca="1">IFERROR(__xludf.DUMMYFUNCTION("""COMPUTED_VALUE"""),"Ginkgo biloba 'Princeton Sentry'")</f>
        <v>Ginkgo biloba 'Princeton Sentry'</v>
      </c>
      <c r="B96" s="61">
        <f ca="1">IFERROR(__xludf.DUMMYFUNCTION("""COMPUTED_VALUE"""),7)</f>
        <v>7</v>
      </c>
      <c r="C96" s="61" t="str">
        <f ca="1">IFERROR(__xludf.DUMMYFUNCTION("""COMPUTED_VALUE"""),"Princeton Sentry Ginkgo")</f>
        <v>Princeton Sentry Ginkgo</v>
      </c>
      <c r="D96" s="61" t="str">
        <f ca="1">IFERROR(__xludf.DUMMYFUNCTION("""COMPUTED_VALUE"""),"#7")</f>
        <v>#7</v>
      </c>
      <c r="E96" s="61" t="str">
        <f ca="1">IFERROR(__xludf.DUMMYFUNCTION("""COMPUTED_VALUE"""),"0.5-0.75""")</f>
        <v>0.5-0.75"</v>
      </c>
      <c r="F96" s="61" t="str">
        <f ca="1">IFERROR(__xludf.DUMMYFUNCTION("""COMPUTED_VALUE"""),"5-5.5'")</f>
        <v>5-5.5'</v>
      </c>
      <c r="G96" s="62">
        <f ca="1">IFERROR(__xludf.DUMMYFUNCTION("""COMPUTED_VALUE"""),4)</f>
        <v>4</v>
      </c>
      <c r="H96" s="63">
        <f ca="1">IFERROR(__xludf.DUMMYFUNCTION("""COMPUTED_VALUE"""),70)</f>
        <v>70</v>
      </c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2.75" x14ac:dyDescent="0.2">
      <c r="A97" s="61" t="str">
        <f ca="1">IFERROR(__xludf.DUMMYFUNCTION("""COMPUTED_VALUE"""),"Ginkgo biloba 'Princeton Sentry'")</f>
        <v>Ginkgo biloba 'Princeton Sentry'</v>
      </c>
      <c r="B97" s="61">
        <f ca="1">IFERROR(__xludf.DUMMYFUNCTION("""COMPUTED_VALUE"""),10)</f>
        <v>10</v>
      </c>
      <c r="C97" s="61" t="str">
        <f ca="1">IFERROR(__xludf.DUMMYFUNCTION("""COMPUTED_VALUE"""),"Princeton Sentry Ginkgo")</f>
        <v>Princeton Sentry Ginkgo</v>
      </c>
      <c r="D97" s="61" t="str">
        <f ca="1">IFERROR(__xludf.DUMMYFUNCTION("""COMPUTED_VALUE"""),"#10")</f>
        <v>#10</v>
      </c>
      <c r="E97" s="61" t="str">
        <f ca="1">IFERROR(__xludf.DUMMYFUNCTION("""COMPUTED_VALUE"""),"1-1.25""")</f>
        <v>1-1.25"</v>
      </c>
      <c r="F97" s="61" t="str">
        <f ca="1">IFERROR(__xludf.DUMMYFUNCTION("""COMPUTED_VALUE"""),"5.5-6.5'")</f>
        <v>5.5-6.5'</v>
      </c>
      <c r="G97" s="62">
        <f ca="1">IFERROR(__xludf.DUMMYFUNCTION("""COMPUTED_VALUE"""),3)</f>
        <v>3</v>
      </c>
      <c r="H97" s="63">
        <f ca="1">IFERROR(__xludf.DUMMYFUNCTION("""COMPUTED_VALUE"""),100)</f>
        <v>100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2.75" x14ac:dyDescent="0.2">
      <c r="A98" s="61" t="str">
        <f ca="1">IFERROR(__xludf.DUMMYFUNCTION("""COMPUTED_VALUE"""),"Ginkgo biloba 'Princeton Sentry'")</f>
        <v>Ginkgo biloba 'Princeton Sentry'</v>
      </c>
      <c r="B98" s="61">
        <f ca="1">IFERROR(__xludf.DUMMYFUNCTION("""COMPUTED_VALUE"""),15)</f>
        <v>15</v>
      </c>
      <c r="C98" s="61" t="str">
        <f ca="1">IFERROR(__xludf.DUMMYFUNCTION("""COMPUTED_VALUE"""),"Princeton Sentry Ginkgo ")</f>
        <v xml:space="preserve">Princeton Sentry Ginkgo </v>
      </c>
      <c r="D98" s="61" t="str">
        <f ca="1">IFERROR(__xludf.DUMMYFUNCTION("""COMPUTED_VALUE"""),"#15")</f>
        <v>#15</v>
      </c>
      <c r="E98" s="61" t="str">
        <f ca="1">IFERROR(__xludf.DUMMYFUNCTION("""COMPUTED_VALUE"""),"1-1.25""")</f>
        <v>1-1.25"</v>
      </c>
      <c r="F98" s="61" t="str">
        <f ca="1">IFERROR(__xludf.DUMMYFUNCTION("""COMPUTED_VALUE"""),"7-10'")</f>
        <v>7-10'</v>
      </c>
      <c r="G98" s="62">
        <f ca="1">IFERROR(__xludf.DUMMYFUNCTION("""COMPUTED_VALUE"""),8)</f>
        <v>8</v>
      </c>
      <c r="H98" s="63">
        <f ca="1">IFERROR(__xludf.DUMMYFUNCTION("""COMPUTED_VALUE"""),135)</f>
        <v>135</v>
      </c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2.75" x14ac:dyDescent="0.2">
      <c r="A99" s="61" t="str">
        <f ca="1">IFERROR(__xludf.DUMMYFUNCTION("""COMPUTED_VALUE"""),"Ginkgo biloba 'Windover Gold'")</f>
        <v>Ginkgo biloba 'Windover Gold'</v>
      </c>
      <c r="B99" s="61">
        <f ca="1">IFERROR(__xludf.DUMMYFUNCTION("""COMPUTED_VALUE"""),15)</f>
        <v>15</v>
      </c>
      <c r="C99" s="61" t="str">
        <f ca="1">IFERROR(__xludf.DUMMYFUNCTION("""COMPUTED_VALUE"""),"Windover Gold Ginkgo")</f>
        <v>Windover Gold Ginkgo</v>
      </c>
      <c r="D99" s="61" t="str">
        <f ca="1">IFERROR(__xludf.DUMMYFUNCTION("""COMPUTED_VALUE"""),"#15")</f>
        <v>#15</v>
      </c>
      <c r="E99" s="61" t="str">
        <f ca="1">IFERROR(__xludf.DUMMYFUNCTION("""COMPUTED_VALUE"""),"1.25-1.5""")</f>
        <v>1.25-1.5"</v>
      </c>
      <c r="F99" s="61" t="str">
        <f ca="1">IFERROR(__xludf.DUMMYFUNCTION("""COMPUTED_VALUE"""),"7-9'")</f>
        <v>7-9'</v>
      </c>
      <c r="G99" s="62">
        <f ca="1">IFERROR(__xludf.DUMMYFUNCTION("""COMPUTED_VALUE"""),2)</f>
        <v>2</v>
      </c>
      <c r="H99" s="63">
        <f ca="1">IFERROR(__xludf.DUMMYFUNCTION("""COMPUTED_VALUE"""),135)</f>
        <v>135</v>
      </c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2.75" x14ac:dyDescent="0.2">
      <c r="A100" s="61" t="str">
        <f ca="1">IFERROR(__xludf.DUMMYFUNCTION("""COMPUTED_VALUE"""),"Gleditsia triacanthos 'Shademaster'")</f>
        <v>Gleditsia triacanthos 'Shademaster'</v>
      </c>
      <c r="B100" s="61">
        <f ca="1">IFERROR(__xludf.DUMMYFUNCTION("""COMPUTED_VALUE"""),15)</f>
        <v>15</v>
      </c>
      <c r="C100" s="61" t="str">
        <f ca="1">IFERROR(__xludf.DUMMYFUNCTION("""COMPUTED_VALUE"""),"Shademaster Honeylocust")</f>
        <v>Shademaster Honeylocust</v>
      </c>
      <c r="D100" s="61" t="str">
        <f ca="1">IFERROR(__xludf.DUMMYFUNCTION("""COMPUTED_VALUE"""),"#15")</f>
        <v>#15</v>
      </c>
      <c r="E100" s="61" t="str">
        <f ca="1">IFERROR(__xludf.DUMMYFUNCTION("""COMPUTED_VALUE"""),"0.5-1.5""")</f>
        <v>0.5-1.5"</v>
      </c>
      <c r="F100" s="61" t="str">
        <f ca="1">IFERROR(__xludf.DUMMYFUNCTION("""COMPUTED_VALUE"""),"7-12'")</f>
        <v>7-12'</v>
      </c>
      <c r="G100" s="62">
        <f ca="1">IFERROR(__xludf.DUMMYFUNCTION("""COMPUTED_VALUE"""),24)</f>
        <v>24</v>
      </c>
      <c r="H100" s="63">
        <f ca="1">IFERROR(__xludf.DUMMYFUNCTION("""COMPUTED_VALUE"""),135)</f>
        <v>135</v>
      </c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2.75" x14ac:dyDescent="0.2">
      <c r="A101" s="61" t="str">
        <f ca="1">IFERROR(__xludf.DUMMYFUNCTION("""COMPUTED_VALUE"""),"Gleditsia triacanthos 'Skyline'")</f>
        <v>Gleditsia triacanthos 'Skyline'</v>
      </c>
      <c r="B101" s="61">
        <f ca="1">IFERROR(__xludf.DUMMYFUNCTION("""COMPUTED_VALUE"""),15)</f>
        <v>15</v>
      </c>
      <c r="C101" s="61" t="str">
        <f ca="1">IFERROR(__xludf.DUMMYFUNCTION("""COMPUTED_VALUE"""),"Skyline Honeylocust")</f>
        <v>Skyline Honeylocust</v>
      </c>
      <c r="D101" s="61" t="str">
        <f ca="1">IFERROR(__xludf.DUMMYFUNCTION("""COMPUTED_VALUE"""),"#15")</f>
        <v>#15</v>
      </c>
      <c r="E101" s="61" t="str">
        <f ca="1">IFERROR(__xludf.DUMMYFUNCTION("""COMPUTED_VALUE"""),"0.75-1.75""")</f>
        <v>0.75-1.75"</v>
      </c>
      <c r="F101" s="61" t="str">
        <f ca="1">IFERROR(__xludf.DUMMYFUNCTION("""COMPUTED_VALUE"""),"8-13'")</f>
        <v>8-13'</v>
      </c>
      <c r="G101" s="62">
        <f ca="1">IFERROR(__xludf.DUMMYFUNCTION("""COMPUTED_VALUE"""),31)</f>
        <v>31</v>
      </c>
      <c r="H101" s="63">
        <f ca="1">IFERROR(__xludf.DUMMYFUNCTION("""COMPUTED_VALUE"""),135)</f>
        <v>135</v>
      </c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2.75" x14ac:dyDescent="0.2">
      <c r="A102" s="61" t="str">
        <f ca="1">IFERROR(__xludf.DUMMYFUNCTION("""COMPUTED_VALUE"""),"Gymnocladus dioicus")</f>
        <v>Gymnocladus dioicus</v>
      </c>
      <c r="B102" s="61">
        <f ca="1">IFERROR(__xludf.DUMMYFUNCTION("""COMPUTED_VALUE"""),5)</f>
        <v>5</v>
      </c>
      <c r="C102" s="61" t="str">
        <f ca="1">IFERROR(__xludf.DUMMYFUNCTION("""COMPUTED_VALUE"""),"Kentucky Coffeetree")</f>
        <v>Kentucky Coffeetree</v>
      </c>
      <c r="D102" s="61" t="str">
        <f ca="1">IFERROR(__xludf.DUMMYFUNCTION("""COMPUTED_VALUE"""),"#5")</f>
        <v>#5</v>
      </c>
      <c r="E102" s="61" t="str">
        <f ca="1">IFERROR(__xludf.DUMMYFUNCTION("""COMPUTED_VALUE"""),"0.5-1.25""")</f>
        <v>0.5-1.25"</v>
      </c>
      <c r="F102" s="61" t="str">
        <f ca="1">IFERROR(__xludf.DUMMYFUNCTION("""COMPUTED_VALUE"""),"3-7'")</f>
        <v>3-7'</v>
      </c>
      <c r="G102" s="62">
        <f ca="1">IFERROR(__xludf.DUMMYFUNCTION("""COMPUTED_VALUE"""),42)</f>
        <v>42</v>
      </c>
      <c r="H102" s="63">
        <f ca="1">IFERROR(__xludf.DUMMYFUNCTION("""COMPUTED_VALUE"""),40)</f>
        <v>40</v>
      </c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2.75" x14ac:dyDescent="0.2">
      <c r="A103" s="61" t="str">
        <f ca="1">IFERROR(__xludf.DUMMYFUNCTION("""COMPUTED_VALUE"""),"Gymnocladus dioicus")</f>
        <v>Gymnocladus dioicus</v>
      </c>
      <c r="B103" s="61">
        <f ca="1">IFERROR(__xludf.DUMMYFUNCTION("""COMPUTED_VALUE"""),15)</f>
        <v>15</v>
      </c>
      <c r="C103" s="61" t="str">
        <f ca="1">IFERROR(__xludf.DUMMYFUNCTION("""COMPUTED_VALUE"""),"Kentucky Coffeetree")</f>
        <v>Kentucky Coffeetree</v>
      </c>
      <c r="D103" s="61" t="str">
        <f ca="1">IFERROR(__xludf.DUMMYFUNCTION("""COMPUTED_VALUE"""),"#15")</f>
        <v>#15</v>
      </c>
      <c r="E103" s="61" t="str">
        <f ca="1">IFERROR(__xludf.DUMMYFUNCTION("""COMPUTED_VALUE"""),"1.25-1.75""")</f>
        <v>1.25-1.75"</v>
      </c>
      <c r="F103" s="61" t="str">
        <f ca="1">IFERROR(__xludf.DUMMYFUNCTION("""COMPUTED_VALUE"""),"9-14'")</f>
        <v>9-14'</v>
      </c>
      <c r="G103" s="62">
        <f ca="1">IFERROR(__xludf.DUMMYFUNCTION("""COMPUTED_VALUE"""),15)</f>
        <v>15</v>
      </c>
      <c r="H103" s="63">
        <f ca="1">IFERROR(__xludf.DUMMYFUNCTION("""COMPUTED_VALUE"""),135)</f>
        <v>135</v>
      </c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2.75" x14ac:dyDescent="0.2">
      <c r="A104" s="61" t="str">
        <f ca="1">IFERROR(__xludf.DUMMYFUNCTION("""COMPUTED_VALUE"""),"Gymnocladus dioicus ")</f>
        <v xml:space="preserve">Gymnocladus dioicus </v>
      </c>
      <c r="B104" s="61">
        <f ca="1">IFERROR(__xludf.DUMMYFUNCTION("""COMPUTED_VALUE"""),15)</f>
        <v>15</v>
      </c>
      <c r="C104" s="61" t="str">
        <f ca="1">IFERROR(__xludf.DUMMYFUNCTION("""COMPUTED_VALUE"""),"Kentucky Coffeetree (Cultivar) ")</f>
        <v xml:space="preserve">Kentucky Coffeetree (Cultivar) </v>
      </c>
      <c r="D104" s="61" t="str">
        <f ca="1">IFERROR(__xludf.DUMMYFUNCTION("""COMPUTED_VALUE"""),"#15")</f>
        <v>#15</v>
      </c>
      <c r="E104" s="61" t="str">
        <f ca="1">IFERROR(__xludf.DUMMYFUNCTION("""COMPUTED_VALUE"""),"1.25-2""")</f>
        <v>1.25-2"</v>
      </c>
      <c r="F104" s="61" t="str">
        <f ca="1">IFERROR(__xludf.DUMMYFUNCTION("""COMPUTED_VALUE"""),"6-16'")</f>
        <v>6-16'</v>
      </c>
      <c r="G104" s="62">
        <f ca="1">IFERROR(__xludf.DUMMYFUNCTION("""COMPUTED_VALUE"""),10)</f>
        <v>10</v>
      </c>
      <c r="H104" s="63">
        <f ca="1">IFERROR(__xludf.DUMMYFUNCTION("""COMPUTED_VALUE"""),135)</f>
        <v>135</v>
      </c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2.75" x14ac:dyDescent="0.2">
      <c r="A105" s="61" t="str">
        <f ca="1">IFERROR(__xludf.DUMMYFUNCTION("""COMPUTED_VALUE"""),"Gymnocladus dioicus ")</f>
        <v xml:space="preserve">Gymnocladus dioicus </v>
      </c>
      <c r="B105" s="61">
        <f ca="1">IFERROR(__xludf.DUMMYFUNCTION("""COMPUTED_VALUE"""),25)</f>
        <v>25</v>
      </c>
      <c r="C105" s="61" t="str">
        <f ca="1">IFERROR(__xludf.DUMMYFUNCTION("""COMPUTED_VALUE"""),"Kentucky Coffeetree (Cultivar) ")</f>
        <v xml:space="preserve">Kentucky Coffeetree (Cultivar) </v>
      </c>
      <c r="D105" s="61" t="str">
        <f ca="1">IFERROR(__xludf.DUMMYFUNCTION("""COMPUTED_VALUE"""),"#25")</f>
        <v>#25</v>
      </c>
      <c r="E105" s="61" t="str">
        <f ca="1">IFERROR(__xludf.DUMMYFUNCTION("""COMPUTED_VALUE"""),"1.75-2""")</f>
        <v>1.75-2"</v>
      </c>
      <c r="F105" s="61" t="str">
        <f ca="1">IFERROR(__xludf.DUMMYFUNCTION("""COMPUTED_VALUE"""),"14-16'")</f>
        <v>14-16'</v>
      </c>
      <c r="G105" s="62">
        <f ca="1">IFERROR(__xludf.DUMMYFUNCTION("""COMPUTED_VALUE"""),2)</f>
        <v>2</v>
      </c>
      <c r="H105" s="63">
        <f ca="1">IFERROR(__xludf.DUMMYFUNCTION("""COMPUTED_VALUE"""),150)</f>
        <v>150</v>
      </c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2.75" x14ac:dyDescent="0.2">
      <c r="A106" s="61" t="str">
        <f ca="1">IFERROR(__xludf.DUMMYFUNCTION("""COMPUTED_VALUE"""),"Halesia carolina")</f>
        <v>Halesia carolina</v>
      </c>
      <c r="B106" s="61">
        <f ca="1">IFERROR(__xludf.DUMMYFUNCTION("""COMPUTED_VALUE"""),5)</f>
        <v>5</v>
      </c>
      <c r="C106" s="61" t="str">
        <f ca="1">IFERROR(__xludf.DUMMYFUNCTION("""COMPUTED_VALUE"""),"Carolina Silverbell")</f>
        <v>Carolina Silverbell</v>
      </c>
      <c r="D106" s="61" t="str">
        <f ca="1">IFERROR(__xludf.DUMMYFUNCTION("""COMPUTED_VALUE"""),"#5")</f>
        <v>#5</v>
      </c>
      <c r="E106" s="61" t="str">
        <f ca="1">IFERROR(__xludf.DUMMYFUNCTION("""COMPUTED_VALUE"""),"0.25-1""")</f>
        <v>0.25-1"</v>
      </c>
      <c r="F106" s="61" t="str">
        <f ca="1">IFERROR(__xludf.DUMMYFUNCTION("""COMPUTED_VALUE"""),"3-9'")</f>
        <v>3-9'</v>
      </c>
      <c r="G106" s="62">
        <f ca="1">IFERROR(__xludf.DUMMYFUNCTION("""COMPUTED_VALUE"""),2)</f>
        <v>2</v>
      </c>
      <c r="H106" s="63">
        <f ca="1">IFERROR(__xludf.DUMMYFUNCTION("""COMPUTED_VALUE"""),50)</f>
        <v>50</v>
      </c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2.75" x14ac:dyDescent="0.2">
      <c r="A107" s="61" t="str">
        <f ca="1">IFERROR(__xludf.DUMMYFUNCTION("""COMPUTED_VALUE"""),"Hamamelis virginiana")</f>
        <v>Hamamelis virginiana</v>
      </c>
      <c r="B107" s="61">
        <f ca="1">IFERROR(__xludf.DUMMYFUNCTION("""COMPUTED_VALUE"""),5)</f>
        <v>5</v>
      </c>
      <c r="C107" s="61" t="str">
        <f ca="1">IFERROR(__xludf.DUMMYFUNCTION("""COMPUTED_VALUE"""),"Witch Hazel")</f>
        <v>Witch Hazel</v>
      </c>
      <c r="D107" s="61" t="str">
        <f ca="1">IFERROR(__xludf.DUMMYFUNCTION("""COMPUTED_VALUE"""),"#5")</f>
        <v>#5</v>
      </c>
      <c r="E107" s="61" t="str">
        <f ca="1">IFERROR(__xludf.DUMMYFUNCTION("""COMPUTED_VALUE"""),"Multi")</f>
        <v>Multi</v>
      </c>
      <c r="F107" s="61" t="str">
        <f ca="1">IFERROR(__xludf.DUMMYFUNCTION("""COMPUTED_VALUE"""),"3-4.5'")</f>
        <v>3-4.5'</v>
      </c>
      <c r="G107" s="62">
        <f ca="1">IFERROR(__xludf.DUMMYFUNCTION("""COMPUTED_VALUE"""),29)</f>
        <v>29</v>
      </c>
      <c r="H107" s="63">
        <f ca="1">IFERROR(__xludf.DUMMYFUNCTION("""COMPUTED_VALUE"""),50)</f>
        <v>50</v>
      </c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2.75" x14ac:dyDescent="0.2">
      <c r="A108" s="61" t="str">
        <f ca="1">IFERROR(__xludf.DUMMYFUNCTION("""COMPUTED_VALUE"""),"Hamamelis x 'Diane'")</f>
        <v>Hamamelis x 'Diane'</v>
      </c>
      <c r="B108" s="61">
        <f ca="1">IFERROR(__xludf.DUMMYFUNCTION("""COMPUTED_VALUE"""),5)</f>
        <v>5</v>
      </c>
      <c r="C108" s="61" t="str">
        <f ca="1">IFERROR(__xludf.DUMMYFUNCTION("""COMPUTED_VALUE"""),"Diane Witch Hazel")</f>
        <v>Diane Witch Hazel</v>
      </c>
      <c r="D108" s="61" t="str">
        <f ca="1">IFERROR(__xludf.DUMMYFUNCTION("""COMPUTED_VALUE"""),"#5")</f>
        <v>#5</v>
      </c>
      <c r="E108" s="61" t="str">
        <f ca="1">IFERROR(__xludf.DUMMYFUNCTION("""COMPUTED_VALUE"""),"Multi")</f>
        <v>Multi</v>
      </c>
      <c r="F108" s="61" t="str">
        <f ca="1">IFERROR(__xludf.DUMMYFUNCTION("""COMPUTED_VALUE"""),"2.5-3.5'")</f>
        <v>2.5-3.5'</v>
      </c>
      <c r="G108" s="62">
        <f ca="1">IFERROR(__xludf.DUMMYFUNCTION("""COMPUTED_VALUE"""),5)</f>
        <v>5</v>
      </c>
      <c r="H108" s="63">
        <f ca="1">IFERROR(__xludf.DUMMYFUNCTION("""COMPUTED_VALUE"""),50)</f>
        <v>50</v>
      </c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2.75" x14ac:dyDescent="0.2">
      <c r="A109" s="61" t="str">
        <f ca="1">IFERROR(__xludf.DUMMYFUNCTION("""COMPUTED_VALUE"""),"Hydrangea que. 'Ruby slippers'")</f>
        <v>Hydrangea que. 'Ruby slippers'</v>
      </c>
      <c r="B109" s="61">
        <f ca="1">IFERROR(__xludf.DUMMYFUNCTION("""COMPUTED_VALUE"""),5)</f>
        <v>5</v>
      </c>
      <c r="C109" s="61" t="str">
        <f ca="1">IFERROR(__xludf.DUMMYFUNCTION("""COMPUTED_VALUE"""),"Ruby Slippers Oakleaf Hydrangea")</f>
        <v>Ruby Slippers Oakleaf Hydrangea</v>
      </c>
      <c r="D109" s="61" t="str">
        <f ca="1">IFERROR(__xludf.DUMMYFUNCTION("""COMPUTED_VALUE"""),"#5")</f>
        <v>#5</v>
      </c>
      <c r="E109" s="61" t="str">
        <f ca="1">IFERROR(__xludf.DUMMYFUNCTION("""COMPUTED_VALUE"""),"Multi")</f>
        <v>Multi</v>
      </c>
      <c r="F109" s="61" t="str">
        <f ca="1">IFERROR(__xludf.DUMMYFUNCTION("""COMPUTED_VALUE"""),"1-2'")</f>
        <v>1-2'</v>
      </c>
      <c r="G109" s="62">
        <f ca="1">IFERROR(__xludf.DUMMYFUNCTION("""COMPUTED_VALUE"""),40)</f>
        <v>40</v>
      </c>
      <c r="H109" s="63">
        <f ca="1">IFERROR(__xludf.DUMMYFUNCTION("""COMPUTED_VALUE"""),37)</f>
        <v>37</v>
      </c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2.75" x14ac:dyDescent="0.2">
      <c r="A110" s="61" t="str">
        <f ca="1">IFERROR(__xludf.DUMMYFUNCTION("""COMPUTED_VALUE"""),"Hydrangea que. 'Snow Queen'")</f>
        <v>Hydrangea que. 'Snow Queen'</v>
      </c>
      <c r="B110" s="61">
        <f ca="1">IFERROR(__xludf.DUMMYFUNCTION("""COMPUTED_VALUE"""),5)</f>
        <v>5</v>
      </c>
      <c r="C110" s="61" t="str">
        <f ca="1">IFERROR(__xludf.DUMMYFUNCTION("""COMPUTED_VALUE"""),"Snow Queen Oakleaf Hydrangea")</f>
        <v>Snow Queen Oakleaf Hydrangea</v>
      </c>
      <c r="D110" s="61" t="str">
        <f ca="1">IFERROR(__xludf.DUMMYFUNCTION("""COMPUTED_VALUE"""),"#5")</f>
        <v>#5</v>
      </c>
      <c r="E110" s="61" t="str">
        <f ca="1">IFERROR(__xludf.DUMMYFUNCTION("""COMPUTED_VALUE"""),"Multi")</f>
        <v>Multi</v>
      </c>
      <c r="F110" s="61" t="str">
        <f ca="1">IFERROR(__xludf.DUMMYFUNCTION("""COMPUTED_VALUE"""),"3-5'")</f>
        <v>3-5'</v>
      </c>
      <c r="G110" s="62">
        <f ca="1">IFERROR(__xludf.DUMMYFUNCTION("""COMPUTED_VALUE"""),37)</f>
        <v>37</v>
      </c>
      <c r="H110" s="63">
        <f ca="1">IFERROR(__xludf.DUMMYFUNCTION("""COMPUTED_VALUE"""),37)</f>
        <v>37</v>
      </c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2.75" x14ac:dyDescent="0.2">
      <c r="A111" s="61" t="str">
        <f ca="1">IFERROR(__xludf.DUMMYFUNCTION("""COMPUTED_VALUE"""),"Ilex glabra")</f>
        <v>Ilex glabra</v>
      </c>
      <c r="B111" s="61">
        <f ca="1">IFERROR(__xludf.DUMMYFUNCTION("""COMPUTED_VALUE"""),5)</f>
        <v>5</v>
      </c>
      <c r="C111" s="61" t="str">
        <f ca="1">IFERROR(__xludf.DUMMYFUNCTION("""COMPUTED_VALUE"""),"Inkberry")</f>
        <v>Inkberry</v>
      </c>
      <c r="D111" s="61" t="str">
        <f ca="1">IFERROR(__xludf.DUMMYFUNCTION("""COMPUTED_VALUE"""),"#5")</f>
        <v>#5</v>
      </c>
      <c r="E111" s="61" t="str">
        <f ca="1">IFERROR(__xludf.DUMMYFUNCTION("""COMPUTED_VALUE"""),"Multi")</f>
        <v>Multi</v>
      </c>
      <c r="F111" s="61" t="str">
        <f ca="1">IFERROR(__xludf.DUMMYFUNCTION("""COMPUTED_VALUE"""),"1-1.5'")</f>
        <v>1-1.5'</v>
      </c>
      <c r="G111" s="62">
        <f ca="1">IFERROR(__xludf.DUMMYFUNCTION("""COMPUTED_VALUE"""),6)</f>
        <v>6</v>
      </c>
      <c r="H111" s="63">
        <f ca="1">IFERROR(__xludf.DUMMYFUNCTION("""COMPUTED_VALUE"""),37)</f>
        <v>37</v>
      </c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2.75" x14ac:dyDescent="0.2">
      <c r="A112" s="61" t="str">
        <f ca="1">IFERROR(__xludf.DUMMYFUNCTION("""COMPUTED_VALUE"""),"Ilex verticillata 'Winter Red'")</f>
        <v>Ilex verticillata 'Winter Red'</v>
      </c>
      <c r="B112" s="61">
        <f ca="1">IFERROR(__xludf.DUMMYFUNCTION("""COMPUTED_VALUE"""),5)</f>
        <v>5</v>
      </c>
      <c r="C112" s="61" t="str">
        <f ca="1">IFERROR(__xludf.DUMMYFUNCTION("""COMPUTED_VALUE"""),"Winter Red Winterberry Holly")</f>
        <v>Winter Red Winterberry Holly</v>
      </c>
      <c r="D112" s="61" t="str">
        <f ca="1">IFERROR(__xludf.DUMMYFUNCTION("""COMPUTED_VALUE"""),"#5")</f>
        <v>#5</v>
      </c>
      <c r="E112" s="61" t="str">
        <f ca="1">IFERROR(__xludf.DUMMYFUNCTION("""COMPUTED_VALUE"""),"Multi")</f>
        <v>Multi</v>
      </c>
      <c r="F112" s="61" t="str">
        <f ca="1">IFERROR(__xludf.DUMMYFUNCTION("""COMPUTED_VALUE"""),"2-4'")</f>
        <v>2-4'</v>
      </c>
      <c r="G112" s="62">
        <f ca="1">IFERROR(__xludf.DUMMYFUNCTION("""COMPUTED_VALUE"""),119)</f>
        <v>119</v>
      </c>
      <c r="H112" s="63">
        <f ca="1">IFERROR(__xludf.DUMMYFUNCTION("""COMPUTED_VALUE"""),35)</f>
        <v>35</v>
      </c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2.75" x14ac:dyDescent="0.2">
      <c r="A113" s="61" t="str">
        <f ca="1">IFERROR(__xludf.DUMMYFUNCTION("""COMPUTED_VALUE"""),"Juniper chinensis 'Spartan'")</f>
        <v>Juniper chinensis 'Spartan'</v>
      </c>
      <c r="B113" s="61" t="str">
        <f ca="1">IFERROR(__xludf.DUMMYFUNCTION("""COMPUTED_VALUE"""),"3")</f>
        <v>3</v>
      </c>
      <c r="C113" s="61" t="str">
        <f ca="1">IFERROR(__xludf.DUMMYFUNCTION("""COMPUTED_VALUE"""),"Spartan Juniper")</f>
        <v>Spartan Juniper</v>
      </c>
      <c r="D113" s="61" t="str">
        <f ca="1">IFERROR(__xludf.DUMMYFUNCTION("""COMPUTED_VALUE"""),"#3")</f>
        <v>#3</v>
      </c>
      <c r="E113" s="61" t="str">
        <f ca="1">IFERROR(__xludf.DUMMYFUNCTION("""COMPUTED_VALUE"""),"0.75-1""")</f>
        <v>0.75-1"</v>
      </c>
      <c r="F113" s="61" t="str">
        <f ca="1">IFERROR(__xludf.DUMMYFUNCTION("""COMPUTED_VALUE"""),"4-4'")</f>
        <v>4-4'</v>
      </c>
      <c r="G113" s="62">
        <f ca="1">IFERROR(__xludf.DUMMYFUNCTION("""COMPUTED_VALUE"""),5)</f>
        <v>5</v>
      </c>
      <c r="H113" s="63">
        <f ca="1">IFERROR(__xludf.DUMMYFUNCTION("""COMPUTED_VALUE"""),50)</f>
        <v>50</v>
      </c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2.75" x14ac:dyDescent="0.2">
      <c r="A114" s="61" t="str">
        <f ca="1">IFERROR(__xludf.DUMMYFUNCTION("""COMPUTED_VALUE"""),"Lindera benzoin")</f>
        <v>Lindera benzoin</v>
      </c>
      <c r="B114" s="61">
        <f ca="1">IFERROR(__xludf.DUMMYFUNCTION("""COMPUTED_VALUE"""),5)</f>
        <v>5</v>
      </c>
      <c r="C114" s="61" t="str">
        <f ca="1">IFERROR(__xludf.DUMMYFUNCTION("""COMPUTED_VALUE"""),"Spicebush")</f>
        <v>Spicebush</v>
      </c>
      <c r="D114" s="61" t="str">
        <f ca="1">IFERROR(__xludf.DUMMYFUNCTION("""COMPUTED_VALUE"""),"#5")</f>
        <v>#5</v>
      </c>
      <c r="E114" s="61" t="str">
        <f ca="1">IFERROR(__xludf.DUMMYFUNCTION("""COMPUTED_VALUE"""),"0.25-0.5""")</f>
        <v>0.25-0.5"</v>
      </c>
      <c r="F114" s="61" t="str">
        <f ca="1">IFERROR(__xludf.DUMMYFUNCTION("""COMPUTED_VALUE"""),"2-3'")</f>
        <v>2-3'</v>
      </c>
      <c r="G114" s="62">
        <f ca="1">IFERROR(__xludf.DUMMYFUNCTION("""COMPUTED_VALUE"""),99)</f>
        <v>99</v>
      </c>
      <c r="H114" s="63">
        <f ca="1">IFERROR(__xludf.DUMMYFUNCTION("""COMPUTED_VALUE"""),37)</f>
        <v>37</v>
      </c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2.75" x14ac:dyDescent="0.2">
      <c r="A115" s="61" t="str">
        <f ca="1">IFERROR(__xludf.DUMMYFUNCTION("""COMPUTED_VALUE"""),"Liquidambar styraciflua")</f>
        <v>Liquidambar styraciflua</v>
      </c>
      <c r="B115" s="61">
        <f ca="1">IFERROR(__xludf.DUMMYFUNCTION("""COMPUTED_VALUE"""),5)</f>
        <v>5</v>
      </c>
      <c r="C115" s="61" t="str">
        <f ca="1">IFERROR(__xludf.DUMMYFUNCTION("""COMPUTED_VALUE"""),"Sweet Gum")</f>
        <v>Sweet Gum</v>
      </c>
      <c r="D115" s="61" t="str">
        <f ca="1">IFERROR(__xludf.DUMMYFUNCTION("""COMPUTED_VALUE"""),"#5")</f>
        <v>#5</v>
      </c>
      <c r="E115" s="61" t="str">
        <f ca="1">IFERROR(__xludf.DUMMYFUNCTION("""COMPUTED_VALUE"""),"0.25-1.25""")</f>
        <v>0.25-1.25"</v>
      </c>
      <c r="F115" s="61" t="str">
        <f ca="1">IFERROR(__xludf.DUMMYFUNCTION("""COMPUTED_VALUE"""),"3-8'")</f>
        <v>3-8'</v>
      </c>
      <c r="G115" s="62">
        <f ca="1">IFERROR(__xludf.DUMMYFUNCTION("""COMPUTED_VALUE"""),32)</f>
        <v>32</v>
      </c>
      <c r="H115" s="63">
        <f ca="1">IFERROR(__xludf.DUMMYFUNCTION("""COMPUTED_VALUE"""),50)</f>
        <v>50</v>
      </c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2.75" x14ac:dyDescent="0.2">
      <c r="A116" s="61" t="str">
        <f ca="1">IFERROR(__xludf.DUMMYFUNCTION("""COMPUTED_VALUE"""),"Liquidambar styraciflua 'Hapdell' Happidaze")</f>
        <v>Liquidambar styraciflua 'Hapdell' Happidaze</v>
      </c>
      <c r="B116" s="61">
        <f ca="1">IFERROR(__xludf.DUMMYFUNCTION("""COMPUTED_VALUE"""),10)</f>
        <v>10</v>
      </c>
      <c r="C116" s="61" t="str">
        <f ca="1">IFERROR(__xludf.DUMMYFUNCTION("""COMPUTED_VALUE"""),"Happidaze Sweetgum")</f>
        <v>Happidaze Sweetgum</v>
      </c>
      <c r="D116" s="61" t="str">
        <f ca="1">IFERROR(__xludf.DUMMYFUNCTION("""COMPUTED_VALUE"""),"#10")</f>
        <v>#10</v>
      </c>
      <c r="E116" s="61" t="str">
        <f ca="1">IFERROR(__xludf.DUMMYFUNCTION("""COMPUTED_VALUE"""),"1-1.25""")</f>
        <v>1-1.25"</v>
      </c>
      <c r="F116" s="61" t="str">
        <f ca="1">IFERROR(__xludf.DUMMYFUNCTION("""COMPUTED_VALUE"""),"6-8'")</f>
        <v>6-8'</v>
      </c>
      <c r="G116" s="62">
        <f ca="1">IFERROR(__xludf.DUMMYFUNCTION("""COMPUTED_VALUE"""),1)</f>
        <v>1</v>
      </c>
      <c r="H116" s="63">
        <f ca="1">IFERROR(__xludf.DUMMYFUNCTION("""COMPUTED_VALUE"""),100)</f>
        <v>100</v>
      </c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2.75" x14ac:dyDescent="0.2">
      <c r="A117" s="61" t="str">
        <f ca="1">IFERROR(__xludf.DUMMYFUNCTION("""COMPUTED_VALUE"""),"Liquidambar styraciflua 'Silver King'")</f>
        <v>Liquidambar styraciflua 'Silver King'</v>
      </c>
      <c r="B117" s="61">
        <f ca="1">IFERROR(__xludf.DUMMYFUNCTION("""COMPUTED_VALUE"""),10)</f>
        <v>10</v>
      </c>
      <c r="C117" s="61" t="str">
        <f ca="1">IFERROR(__xludf.DUMMYFUNCTION("""COMPUTED_VALUE"""),"Silver King Sweet Gum")</f>
        <v>Silver King Sweet Gum</v>
      </c>
      <c r="D117" s="61" t="str">
        <f ca="1">IFERROR(__xludf.DUMMYFUNCTION("""COMPUTED_VALUE"""),"#10")</f>
        <v>#10</v>
      </c>
      <c r="E117" s="61" t="str">
        <f ca="1">IFERROR(__xludf.DUMMYFUNCTION("""COMPUTED_VALUE"""),"1.25-1.25""")</f>
        <v>1.25-1.25"</v>
      </c>
      <c r="F117" s="61" t="str">
        <f ca="1">IFERROR(__xludf.DUMMYFUNCTION("""COMPUTED_VALUE"""),"7-9'")</f>
        <v>7-9'</v>
      </c>
      <c r="G117" s="62">
        <f ca="1">IFERROR(__xludf.DUMMYFUNCTION("""COMPUTED_VALUE"""),7)</f>
        <v>7</v>
      </c>
      <c r="H117" s="63">
        <f ca="1">IFERROR(__xludf.DUMMYFUNCTION("""COMPUTED_VALUE"""),100)</f>
        <v>100</v>
      </c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2.75" x14ac:dyDescent="0.2">
      <c r="A118" s="61" t="str">
        <f ca="1">IFERROR(__xludf.DUMMYFUNCTION("""COMPUTED_VALUE"""),"Liquidambar styraciflua 'Worplesdon'")</f>
        <v>Liquidambar styraciflua 'Worplesdon'</v>
      </c>
      <c r="B118" s="61">
        <f ca="1">IFERROR(__xludf.DUMMYFUNCTION("""COMPUTED_VALUE"""),15)</f>
        <v>15</v>
      </c>
      <c r="C118" s="61" t="str">
        <f ca="1">IFERROR(__xludf.DUMMYFUNCTION("""COMPUTED_VALUE"""),"Worplesdon Sweetgum")</f>
        <v>Worplesdon Sweetgum</v>
      </c>
      <c r="D118" s="61" t="str">
        <f ca="1">IFERROR(__xludf.DUMMYFUNCTION("""COMPUTED_VALUE"""),"#15")</f>
        <v>#15</v>
      </c>
      <c r="E118" s="61" t="str">
        <f ca="1">IFERROR(__xludf.DUMMYFUNCTION("""COMPUTED_VALUE"""),"1.25-1.25""")</f>
        <v>1.25-1.25"</v>
      </c>
      <c r="F118" s="61" t="str">
        <f ca="1">IFERROR(__xludf.DUMMYFUNCTION("""COMPUTED_VALUE"""),"7-8'")</f>
        <v>7-8'</v>
      </c>
      <c r="G118" s="62">
        <f ca="1">IFERROR(__xludf.DUMMYFUNCTION("""COMPUTED_VALUE"""),10)</f>
        <v>10</v>
      </c>
      <c r="H118" s="63">
        <f ca="1">IFERROR(__xludf.DUMMYFUNCTION("""COMPUTED_VALUE"""),135)</f>
        <v>135</v>
      </c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2.75" x14ac:dyDescent="0.2">
      <c r="A119" s="61" t="str">
        <f ca="1">IFERROR(__xludf.DUMMYFUNCTION("""COMPUTED_VALUE"""),"Liriodendron tulipifera")</f>
        <v>Liriodendron tulipifera</v>
      </c>
      <c r="B119" s="61">
        <f ca="1">IFERROR(__xludf.DUMMYFUNCTION("""COMPUTED_VALUE"""),5)</f>
        <v>5</v>
      </c>
      <c r="C119" s="61" t="str">
        <f ca="1">IFERROR(__xludf.DUMMYFUNCTION("""COMPUTED_VALUE"""),"Tulip Poplar")</f>
        <v>Tulip Poplar</v>
      </c>
      <c r="D119" s="61" t="str">
        <f ca="1">IFERROR(__xludf.DUMMYFUNCTION("""COMPUTED_VALUE"""),"#5")</f>
        <v>#5</v>
      </c>
      <c r="E119" s="61" t="str">
        <f ca="1">IFERROR(__xludf.DUMMYFUNCTION("""COMPUTED_VALUE"""),"0.5-1.5""")</f>
        <v>0.5-1.5"</v>
      </c>
      <c r="F119" s="61" t="str">
        <f ca="1">IFERROR(__xludf.DUMMYFUNCTION("""COMPUTED_VALUE"""),"5-13'")</f>
        <v>5-13'</v>
      </c>
      <c r="G119" s="62">
        <f ca="1">IFERROR(__xludf.DUMMYFUNCTION("""COMPUTED_VALUE"""),209)</f>
        <v>209</v>
      </c>
      <c r="H119" s="63">
        <f ca="1">IFERROR(__xludf.DUMMYFUNCTION("""COMPUTED_VALUE"""),50)</f>
        <v>50</v>
      </c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2.75" x14ac:dyDescent="0.2">
      <c r="A120" s="61" t="str">
        <f ca="1">IFERROR(__xludf.DUMMYFUNCTION("""COMPUTED_VALUE"""),"Magnolia 'Black Tulip'")</f>
        <v>Magnolia 'Black Tulip'</v>
      </c>
      <c r="B120" s="61">
        <f ca="1">IFERROR(__xludf.DUMMYFUNCTION("""COMPUTED_VALUE"""),5)</f>
        <v>5</v>
      </c>
      <c r="C120" s="61" t="str">
        <f ca="1">IFERROR(__xludf.DUMMYFUNCTION("""COMPUTED_VALUE"""),"Black Tulip Magnolia")</f>
        <v>Black Tulip Magnolia</v>
      </c>
      <c r="D120" s="61" t="str">
        <f ca="1">IFERROR(__xludf.DUMMYFUNCTION("""COMPUTED_VALUE"""),"#5")</f>
        <v>#5</v>
      </c>
      <c r="E120" s="61" t="str">
        <f ca="1">IFERROR(__xludf.DUMMYFUNCTION("""COMPUTED_VALUE"""),"Multi")</f>
        <v>Multi</v>
      </c>
      <c r="F120" s="61" t="str">
        <f ca="1">IFERROR(__xludf.DUMMYFUNCTION("""COMPUTED_VALUE"""),"3-3.5'")</f>
        <v>3-3.5'</v>
      </c>
      <c r="G120" s="62">
        <f ca="1">IFERROR(__xludf.DUMMYFUNCTION("""COMPUTED_VALUE"""),3)</f>
        <v>3</v>
      </c>
      <c r="H120" s="63">
        <f ca="1">IFERROR(__xludf.DUMMYFUNCTION("""COMPUTED_VALUE"""),70)</f>
        <v>70</v>
      </c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2.75" x14ac:dyDescent="0.2">
      <c r="A121" s="61" t="str">
        <f ca="1">IFERROR(__xludf.DUMMYFUNCTION("""COMPUTED_VALUE"""),"Magnolia 'Galaxy'")</f>
        <v>Magnolia 'Galaxy'</v>
      </c>
      <c r="B121" s="61">
        <f ca="1">IFERROR(__xludf.DUMMYFUNCTION("""COMPUTED_VALUE"""),5)</f>
        <v>5</v>
      </c>
      <c r="C121" s="61" t="str">
        <f ca="1">IFERROR(__xludf.DUMMYFUNCTION("""COMPUTED_VALUE"""),"Galaxy Magnolia")</f>
        <v>Galaxy Magnolia</v>
      </c>
      <c r="D121" s="61" t="str">
        <f ca="1">IFERROR(__xludf.DUMMYFUNCTION("""COMPUTED_VALUE"""),"#5")</f>
        <v>#5</v>
      </c>
      <c r="E121" s="61" t="str">
        <f ca="1">IFERROR(__xludf.DUMMYFUNCTION("""COMPUTED_VALUE"""),"0.5-0.75""")</f>
        <v>0.5-0.75"</v>
      </c>
      <c r="F121" s="61" t="str">
        <f ca="1">IFERROR(__xludf.DUMMYFUNCTION("""COMPUTED_VALUE"""),"4-5.5'")</f>
        <v>4-5.5'</v>
      </c>
      <c r="G121" s="62">
        <f ca="1">IFERROR(__xludf.DUMMYFUNCTION("""COMPUTED_VALUE"""),17)</f>
        <v>17</v>
      </c>
      <c r="H121" s="63">
        <f ca="1">IFERROR(__xludf.DUMMYFUNCTION("""COMPUTED_VALUE"""),70)</f>
        <v>70</v>
      </c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2.75" x14ac:dyDescent="0.2">
      <c r="A122" s="61" t="str">
        <f ca="1">IFERROR(__xludf.DUMMYFUNCTION("""COMPUTED_VALUE"""),"Magnolia 'Yellow Bird'")</f>
        <v>Magnolia 'Yellow Bird'</v>
      </c>
      <c r="B122" s="61">
        <f ca="1">IFERROR(__xludf.DUMMYFUNCTION("""COMPUTED_VALUE"""),5)</f>
        <v>5</v>
      </c>
      <c r="C122" s="61" t="str">
        <f ca="1">IFERROR(__xludf.DUMMYFUNCTION("""COMPUTED_VALUE"""),"Yellow Bird Magnolia")</f>
        <v>Yellow Bird Magnolia</v>
      </c>
      <c r="D122" s="61" t="str">
        <f ca="1">IFERROR(__xludf.DUMMYFUNCTION("""COMPUTED_VALUE"""),"#5")</f>
        <v>#5</v>
      </c>
      <c r="E122" s="61" t="str">
        <f ca="1">IFERROR(__xludf.DUMMYFUNCTION("""COMPUTED_VALUE"""),"Multi")</f>
        <v>Multi</v>
      </c>
      <c r="F122" s="61" t="str">
        <f ca="1">IFERROR(__xludf.DUMMYFUNCTION("""COMPUTED_VALUE"""),"3-6'")</f>
        <v>3-6'</v>
      </c>
      <c r="G122" s="62">
        <f ca="1">IFERROR(__xludf.DUMMYFUNCTION("""COMPUTED_VALUE"""),63)</f>
        <v>63</v>
      </c>
      <c r="H122" s="63">
        <f ca="1">IFERROR(__xludf.DUMMYFUNCTION("""COMPUTED_VALUE"""),70)</f>
        <v>70</v>
      </c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2.75" x14ac:dyDescent="0.2">
      <c r="A123" s="61" t="str">
        <f ca="1">IFERROR(__xludf.DUMMYFUNCTION("""COMPUTED_VALUE"""),"Magnolia ashei")</f>
        <v>Magnolia ashei</v>
      </c>
      <c r="B123" s="61">
        <f ca="1">IFERROR(__xludf.DUMMYFUNCTION("""COMPUTED_VALUE"""),5)</f>
        <v>5</v>
      </c>
      <c r="C123" s="61" t="str">
        <f ca="1">IFERROR(__xludf.DUMMYFUNCTION("""COMPUTED_VALUE"""),"Ashe's Magnolia")</f>
        <v>Ashe's Magnolia</v>
      </c>
      <c r="D123" s="61" t="str">
        <f ca="1">IFERROR(__xludf.DUMMYFUNCTION("""COMPUTED_VALUE"""),"#5")</f>
        <v>#5</v>
      </c>
      <c r="E123" s="61" t="str">
        <f ca="1">IFERROR(__xludf.DUMMYFUNCTION("""COMPUTED_VALUE"""),"0.5-0.5""")</f>
        <v>0.5-0.5"</v>
      </c>
      <c r="F123" s="61" t="str">
        <f ca="1">IFERROR(__xludf.DUMMYFUNCTION("""COMPUTED_VALUE"""),"2-6'")</f>
        <v>2-6'</v>
      </c>
      <c r="G123" s="62">
        <f ca="1">IFERROR(__xludf.DUMMYFUNCTION("""COMPUTED_VALUE"""),25)</f>
        <v>25</v>
      </c>
      <c r="H123" s="63">
        <f ca="1">IFERROR(__xludf.DUMMYFUNCTION("""COMPUTED_VALUE"""),50)</f>
        <v>50</v>
      </c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2.75" x14ac:dyDescent="0.2">
      <c r="A124" s="61" t="str">
        <f ca="1">IFERROR(__xludf.DUMMYFUNCTION("""COMPUTED_VALUE"""),"Magnolia gra. 'D.D. Blanchard'")</f>
        <v>Magnolia gra. 'D.D. Blanchard'</v>
      </c>
      <c r="B124" s="61" t="str">
        <f ca="1">IFERROR(__xludf.DUMMYFUNCTION("""COMPUTED_VALUE"""),"10")</f>
        <v>10</v>
      </c>
      <c r="C124" s="61" t="str">
        <f ca="1">IFERROR(__xludf.DUMMYFUNCTION("""COMPUTED_VALUE"""),"DD Blanchard Magnolia")</f>
        <v>DD Blanchard Magnolia</v>
      </c>
      <c r="D124" s="61" t="str">
        <f ca="1">IFERROR(__xludf.DUMMYFUNCTION("""COMPUTED_VALUE"""),"#10")</f>
        <v>#10</v>
      </c>
      <c r="E124" s="61" t="str">
        <f ca="1">IFERROR(__xludf.DUMMYFUNCTION("""COMPUTED_VALUE"""),"Multi")</f>
        <v>Multi</v>
      </c>
      <c r="F124" s="61" t="str">
        <f ca="1">IFERROR(__xludf.DUMMYFUNCTION("""COMPUTED_VALUE"""),"6-7'")</f>
        <v>6-7'</v>
      </c>
      <c r="G124" s="62">
        <f ca="1">IFERROR(__xludf.DUMMYFUNCTION("""COMPUTED_VALUE"""),6)</f>
        <v>6</v>
      </c>
      <c r="H124" s="63">
        <f ca="1">IFERROR(__xludf.DUMMYFUNCTION("""COMPUTED_VALUE"""),120)</f>
        <v>120</v>
      </c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2.75" x14ac:dyDescent="0.2">
      <c r="A125" s="61" t="str">
        <f ca="1">IFERROR(__xludf.DUMMYFUNCTION("""COMPUTED_VALUE"""),"Magnolia macrophylla")</f>
        <v>Magnolia macrophylla</v>
      </c>
      <c r="B125" s="61">
        <f ca="1">IFERROR(__xludf.DUMMYFUNCTION("""COMPUTED_VALUE"""),5)</f>
        <v>5</v>
      </c>
      <c r="C125" s="61" t="str">
        <f ca="1">IFERROR(__xludf.DUMMYFUNCTION("""COMPUTED_VALUE"""),"Bigleaf Magnolia")</f>
        <v>Bigleaf Magnolia</v>
      </c>
      <c r="D125" s="61" t="str">
        <f ca="1">IFERROR(__xludf.DUMMYFUNCTION("""COMPUTED_VALUE"""),"#5")</f>
        <v>#5</v>
      </c>
      <c r="E125" s="61" t="str">
        <f ca="1">IFERROR(__xludf.DUMMYFUNCTION("""COMPUTED_VALUE"""),"0.25-0.5""")</f>
        <v>0.25-0.5"</v>
      </c>
      <c r="F125" s="61" t="str">
        <f ca="1">IFERROR(__xludf.DUMMYFUNCTION("""COMPUTED_VALUE"""),"3-3.5'")</f>
        <v>3-3.5'</v>
      </c>
      <c r="G125" s="62">
        <f ca="1">IFERROR(__xludf.DUMMYFUNCTION("""COMPUTED_VALUE"""),3)</f>
        <v>3</v>
      </c>
      <c r="H125" s="63">
        <f ca="1">IFERROR(__xludf.DUMMYFUNCTION("""COMPUTED_VALUE"""),70)</f>
        <v>70</v>
      </c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2.75" x14ac:dyDescent="0.2">
      <c r="A126" s="61" t="str">
        <f ca="1">IFERROR(__xludf.DUMMYFUNCTION("""COMPUTED_VALUE"""),"Magnolia tripetala")</f>
        <v>Magnolia tripetala</v>
      </c>
      <c r="B126" s="61">
        <f ca="1">IFERROR(__xludf.DUMMYFUNCTION("""COMPUTED_VALUE"""),5)</f>
        <v>5</v>
      </c>
      <c r="C126" s="61" t="str">
        <f ca="1">IFERROR(__xludf.DUMMYFUNCTION("""COMPUTED_VALUE"""),"Umbrella Magnolia")</f>
        <v>Umbrella Magnolia</v>
      </c>
      <c r="D126" s="61" t="str">
        <f ca="1">IFERROR(__xludf.DUMMYFUNCTION("""COMPUTED_VALUE"""),"#5")</f>
        <v>#5</v>
      </c>
      <c r="E126" s="61" t="str">
        <f ca="1">IFERROR(__xludf.DUMMYFUNCTION("""COMPUTED_VALUE"""),"0.25-0.25""")</f>
        <v>0.25-0.25"</v>
      </c>
      <c r="F126" s="61" t="str">
        <f ca="1">IFERROR(__xludf.DUMMYFUNCTION("""COMPUTED_VALUE"""),"3-5'")</f>
        <v>3-5'</v>
      </c>
      <c r="G126" s="62">
        <f ca="1">IFERROR(__xludf.DUMMYFUNCTION("""COMPUTED_VALUE"""),6)</f>
        <v>6</v>
      </c>
      <c r="H126" s="63">
        <f ca="1">IFERROR(__xludf.DUMMYFUNCTION("""COMPUTED_VALUE"""),70)</f>
        <v>70</v>
      </c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2.75" x14ac:dyDescent="0.2">
      <c r="A127" s="61" t="str">
        <f ca="1">IFERROR(__xludf.DUMMYFUNCTION("""COMPUTED_VALUE"""),"Magnolia virginiana")</f>
        <v>Magnolia virginiana</v>
      </c>
      <c r="B127" s="61">
        <f ca="1">IFERROR(__xludf.DUMMYFUNCTION("""COMPUTED_VALUE"""),5)</f>
        <v>5</v>
      </c>
      <c r="C127" s="61" t="str">
        <f ca="1">IFERROR(__xludf.DUMMYFUNCTION("""COMPUTED_VALUE"""),"Sweet Bay Magnolia")</f>
        <v>Sweet Bay Magnolia</v>
      </c>
      <c r="D127" s="61" t="str">
        <f ca="1">IFERROR(__xludf.DUMMYFUNCTION("""COMPUTED_VALUE"""),"#5")</f>
        <v>#5</v>
      </c>
      <c r="E127" s="61" t="str">
        <f ca="1">IFERROR(__xludf.DUMMYFUNCTION("""COMPUTED_VALUE"""),"Multi")</f>
        <v>Multi</v>
      </c>
      <c r="F127" s="61" t="str">
        <f ca="1">IFERROR(__xludf.DUMMYFUNCTION("""COMPUTED_VALUE"""),"3-6'")</f>
        <v>3-6'</v>
      </c>
      <c r="G127" s="62">
        <f ca="1">IFERROR(__xludf.DUMMYFUNCTION("""COMPUTED_VALUE"""),2)</f>
        <v>2</v>
      </c>
      <c r="H127" s="63">
        <f ca="1">IFERROR(__xludf.DUMMYFUNCTION("""COMPUTED_VALUE"""),50)</f>
        <v>50</v>
      </c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2.75" x14ac:dyDescent="0.2">
      <c r="A128" s="61" t="str">
        <f ca="1">IFERROR(__xludf.DUMMYFUNCTION("""COMPUTED_VALUE"""),"Magnolia virginiana 'Moonglow'")</f>
        <v>Magnolia virginiana 'Moonglow'</v>
      </c>
      <c r="B128" s="61">
        <f ca="1">IFERROR(__xludf.DUMMYFUNCTION("""COMPUTED_VALUE"""),5)</f>
        <v>5</v>
      </c>
      <c r="C128" s="61" t="str">
        <f ca="1">IFERROR(__xludf.DUMMYFUNCTION("""COMPUTED_VALUE"""),"Moonglow Magnolia")</f>
        <v>Moonglow Magnolia</v>
      </c>
      <c r="D128" s="61" t="str">
        <f ca="1">IFERROR(__xludf.DUMMYFUNCTION("""COMPUTED_VALUE"""),"#5")</f>
        <v>#5</v>
      </c>
      <c r="E128" s="61" t="str">
        <f ca="1">IFERROR(__xludf.DUMMYFUNCTION("""COMPUTED_VALUE"""),"0.5-1""")</f>
        <v>0.5-1"</v>
      </c>
      <c r="F128" s="61" t="str">
        <f ca="1">IFERROR(__xludf.DUMMYFUNCTION("""COMPUTED_VALUE"""),"3-7'")</f>
        <v>3-7'</v>
      </c>
      <c r="G128" s="62">
        <f ca="1">IFERROR(__xludf.DUMMYFUNCTION("""COMPUTED_VALUE"""),29)</f>
        <v>29</v>
      </c>
      <c r="H128" s="63">
        <f ca="1">IFERROR(__xludf.DUMMYFUNCTION("""COMPUTED_VALUE"""),50)</f>
        <v>50</v>
      </c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2.75" x14ac:dyDescent="0.2">
      <c r="A129" s="61" t="str">
        <f ca="1">IFERROR(__xludf.DUMMYFUNCTION("""COMPUTED_VALUE"""),"Magnolia x 'Ann'")</f>
        <v>Magnolia x 'Ann'</v>
      </c>
      <c r="B129" s="61">
        <f ca="1">IFERROR(__xludf.DUMMYFUNCTION("""COMPUTED_VALUE"""),5)</f>
        <v>5</v>
      </c>
      <c r="C129" s="61" t="str">
        <f ca="1">IFERROR(__xludf.DUMMYFUNCTION("""COMPUTED_VALUE"""),"Ann Magnolia")</f>
        <v>Ann Magnolia</v>
      </c>
      <c r="D129" s="61" t="str">
        <f ca="1">IFERROR(__xludf.DUMMYFUNCTION("""COMPUTED_VALUE"""),"#5")</f>
        <v>#5</v>
      </c>
      <c r="E129" s="61" t="str">
        <f ca="1">IFERROR(__xludf.DUMMYFUNCTION("""COMPUTED_VALUE"""),"Multi")</f>
        <v>Multi</v>
      </c>
      <c r="F129" s="61" t="str">
        <f ca="1">IFERROR(__xludf.DUMMYFUNCTION("""COMPUTED_VALUE"""),"5-7'")</f>
        <v>5-7'</v>
      </c>
      <c r="G129" s="62">
        <f ca="1">IFERROR(__xludf.DUMMYFUNCTION("""COMPUTED_VALUE"""),2)</f>
        <v>2</v>
      </c>
      <c r="H129" s="63">
        <f ca="1">IFERROR(__xludf.DUMMYFUNCTION("""COMPUTED_VALUE"""),70)</f>
        <v>70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2.75" x14ac:dyDescent="0.2">
      <c r="A130" s="61" t="str">
        <f ca="1">IFERROR(__xludf.DUMMYFUNCTION("""COMPUTED_VALUE"""),"Magnolia x 'Jane'")</f>
        <v>Magnolia x 'Jane'</v>
      </c>
      <c r="B130" s="61">
        <f ca="1">IFERROR(__xludf.DUMMYFUNCTION("""COMPUTED_VALUE"""),5)</f>
        <v>5</v>
      </c>
      <c r="C130" s="61" t="str">
        <f ca="1">IFERROR(__xludf.DUMMYFUNCTION("""COMPUTED_VALUE"""),"Jane Magnolia")</f>
        <v>Jane Magnolia</v>
      </c>
      <c r="D130" s="61" t="str">
        <f ca="1">IFERROR(__xludf.DUMMYFUNCTION("""COMPUTED_VALUE"""),"#5")</f>
        <v>#5</v>
      </c>
      <c r="E130" s="61" t="str">
        <f ca="1">IFERROR(__xludf.DUMMYFUNCTION("""COMPUTED_VALUE"""),"Multi")</f>
        <v>Multi</v>
      </c>
      <c r="F130" s="61" t="str">
        <f ca="1">IFERROR(__xludf.DUMMYFUNCTION("""COMPUTED_VALUE"""),"4-5'")</f>
        <v>4-5'</v>
      </c>
      <c r="G130" s="62">
        <f ca="1">IFERROR(__xludf.DUMMYFUNCTION("""COMPUTED_VALUE"""),6)</f>
        <v>6</v>
      </c>
      <c r="H130" s="63">
        <f ca="1">IFERROR(__xludf.DUMMYFUNCTION("""COMPUTED_VALUE"""),70)</f>
        <v>70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2.75" x14ac:dyDescent="0.2">
      <c r="A131" s="61" t="str">
        <f ca="1">IFERROR(__xludf.DUMMYFUNCTION("""COMPUTED_VALUE"""),"Malus 'Prairifire'")</f>
        <v>Malus 'Prairifire'</v>
      </c>
      <c r="B131" s="61">
        <f ca="1">IFERROR(__xludf.DUMMYFUNCTION("""COMPUTED_VALUE"""),5)</f>
        <v>5</v>
      </c>
      <c r="C131" s="61" t="str">
        <f ca="1">IFERROR(__xludf.DUMMYFUNCTION("""COMPUTED_VALUE"""),"Prairifire Crabapple")</f>
        <v>Prairifire Crabapple</v>
      </c>
      <c r="D131" s="61" t="str">
        <f ca="1">IFERROR(__xludf.DUMMYFUNCTION("""COMPUTED_VALUE"""),"#5")</f>
        <v>#5</v>
      </c>
      <c r="E131" s="61" t="str">
        <f ca="1">IFERROR(__xludf.DUMMYFUNCTION("""COMPUTED_VALUE"""),"0.5-1""")</f>
        <v>0.5-1"</v>
      </c>
      <c r="F131" s="61" t="str">
        <f ca="1">IFERROR(__xludf.DUMMYFUNCTION("""COMPUTED_VALUE"""),"5-7.5'")</f>
        <v>5-7.5'</v>
      </c>
      <c r="G131" s="62">
        <f ca="1">IFERROR(__xludf.DUMMYFUNCTION("""COMPUTED_VALUE"""),9)</f>
        <v>9</v>
      </c>
      <c r="H131" s="63">
        <f ca="1">IFERROR(__xludf.DUMMYFUNCTION("""COMPUTED_VALUE"""),50)</f>
        <v>50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2.75" x14ac:dyDescent="0.2">
      <c r="A132" s="61" t="str">
        <f ca="1">IFERROR(__xludf.DUMMYFUNCTION("""COMPUTED_VALUE"""),"Malus 'Prairifire'")</f>
        <v>Malus 'Prairifire'</v>
      </c>
      <c r="B132" s="61">
        <f ca="1">IFERROR(__xludf.DUMMYFUNCTION("""COMPUTED_VALUE"""),15)</f>
        <v>15</v>
      </c>
      <c r="C132" s="61" t="str">
        <f ca="1">IFERROR(__xludf.DUMMYFUNCTION("""COMPUTED_VALUE"""),"Prairifire Crabapple")</f>
        <v>Prairifire Crabapple</v>
      </c>
      <c r="D132" s="61" t="str">
        <f ca="1">IFERROR(__xludf.DUMMYFUNCTION("""COMPUTED_VALUE"""),"#15")</f>
        <v>#15</v>
      </c>
      <c r="E132" s="61" t="str">
        <f ca="1">IFERROR(__xludf.DUMMYFUNCTION("""COMPUTED_VALUE"""),"0.75-1.25""")</f>
        <v>0.75-1.25"</v>
      </c>
      <c r="F132" s="61" t="str">
        <f ca="1">IFERROR(__xludf.DUMMYFUNCTION("""COMPUTED_VALUE"""),"8-10'")</f>
        <v>8-10'</v>
      </c>
      <c r="G132" s="62">
        <f ca="1">IFERROR(__xludf.DUMMYFUNCTION("""COMPUTED_VALUE"""),21)</f>
        <v>21</v>
      </c>
      <c r="H132" s="63">
        <f ca="1">IFERROR(__xludf.DUMMYFUNCTION("""COMPUTED_VALUE"""),135)</f>
        <v>135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2.75" x14ac:dyDescent="0.2">
      <c r="A133" s="61" t="str">
        <f ca="1">IFERROR(__xludf.DUMMYFUNCTION("""COMPUTED_VALUE"""),"Malus 'Sugar Tyme'")</f>
        <v>Malus 'Sugar Tyme'</v>
      </c>
      <c r="B133" s="61">
        <f ca="1">IFERROR(__xludf.DUMMYFUNCTION("""COMPUTED_VALUE"""),15)</f>
        <v>15</v>
      </c>
      <c r="C133" s="61" t="str">
        <f ca="1">IFERROR(__xludf.DUMMYFUNCTION("""COMPUTED_VALUE"""),"Sugar Tyme Crabapple")</f>
        <v>Sugar Tyme Crabapple</v>
      </c>
      <c r="D133" s="61" t="str">
        <f ca="1">IFERROR(__xludf.DUMMYFUNCTION("""COMPUTED_VALUE"""),"#15")</f>
        <v>#15</v>
      </c>
      <c r="E133" s="61" t="str">
        <f ca="1">IFERROR(__xludf.DUMMYFUNCTION("""COMPUTED_VALUE"""),"1-1.75""")</f>
        <v>1-1.75"</v>
      </c>
      <c r="F133" s="61" t="str">
        <f ca="1">IFERROR(__xludf.DUMMYFUNCTION("""COMPUTED_VALUE"""),"8-10'")</f>
        <v>8-10'</v>
      </c>
      <c r="G133" s="62">
        <f ca="1">IFERROR(__xludf.DUMMYFUNCTION("""COMPUTED_VALUE"""),26)</f>
        <v>26</v>
      </c>
      <c r="H133" s="63">
        <f ca="1">IFERROR(__xludf.DUMMYFUNCTION("""COMPUTED_VALUE"""),135)</f>
        <v>135</v>
      </c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2.75" x14ac:dyDescent="0.2">
      <c r="A134" s="61" t="str">
        <f ca="1">IFERROR(__xludf.DUMMYFUNCTION("""COMPUTED_VALUE"""),"Malus dolgo")</f>
        <v>Malus dolgo</v>
      </c>
      <c r="B134" s="61">
        <f ca="1">IFERROR(__xludf.DUMMYFUNCTION("""COMPUTED_VALUE"""),5)</f>
        <v>5</v>
      </c>
      <c r="C134" s="61" t="str">
        <f ca="1">IFERROR(__xludf.DUMMYFUNCTION("""COMPUTED_VALUE"""),"Dolgo Crabapple")</f>
        <v>Dolgo Crabapple</v>
      </c>
      <c r="D134" s="61" t="str">
        <f ca="1">IFERROR(__xludf.DUMMYFUNCTION("""COMPUTED_VALUE"""),"#5")</f>
        <v>#5</v>
      </c>
      <c r="E134" s="61" t="str">
        <f ca="1">IFERROR(__xludf.DUMMYFUNCTION("""COMPUTED_VALUE"""),"0.5-1""")</f>
        <v>0.5-1"</v>
      </c>
      <c r="F134" s="61" t="str">
        <f ca="1">IFERROR(__xludf.DUMMYFUNCTION("""COMPUTED_VALUE"""),"4-9'")</f>
        <v>4-9'</v>
      </c>
      <c r="G134" s="62">
        <f ca="1">IFERROR(__xludf.DUMMYFUNCTION("""COMPUTED_VALUE"""),21)</f>
        <v>21</v>
      </c>
      <c r="H134" s="63">
        <f ca="1">IFERROR(__xludf.DUMMYFUNCTION("""COMPUTED_VALUE"""),50)</f>
        <v>50</v>
      </c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2.75" x14ac:dyDescent="0.2">
      <c r="A135" s="61" t="str">
        <f ca="1">IFERROR(__xludf.DUMMYFUNCTION("""COMPUTED_VALUE"""),"Metasequoia glyptostroboides")</f>
        <v>Metasequoia glyptostroboides</v>
      </c>
      <c r="B135" s="61">
        <f ca="1">IFERROR(__xludf.DUMMYFUNCTION("""COMPUTED_VALUE"""),5)</f>
        <v>5</v>
      </c>
      <c r="C135" s="61" t="str">
        <f ca="1">IFERROR(__xludf.DUMMYFUNCTION("""COMPUTED_VALUE"""),"Dawn Redwood")</f>
        <v>Dawn Redwood</v>
      </c>
      <c r="D135" s="61" t="str">
        <f ca="1">IFERROR(__xludf.DUMMYFUNCTION("""COMPUTED_VALUE"""),"#5")</f>
        <v>#5</v>
      </c>
      <c r="E135" s="61" t="str">
        <f ca="1">IFERROR(__xludf.DUMMYFUNCTION("""COMPUTED_VALUE"""),"0.25-1.25""")</f>
        <v>0.25-1.25"</v>
      </c>
      <c r="F135" s="61" t="str">
        <f ca="1">IFERROR(__xludf.DUMMYFUNCTION("""COMPUTED_VALUE"""),"3-9'")</f>
        <v>3-9'</v>
      </c>
      <c r="G135" s="62">
        <f ca="1">IFERROR(__xludf.DUMMYFUNCTION("""COMPUTED_VALUE"""),222)</f>
        <v>222</v>
      </c>
      <c r="H135" s="63">
        <f ca="1">IFERROR(__xludf.DUMMYFUNCTION("""COMPUTED_VALUE"""),50)</f>
        <v>50</v>
      </c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2.75" x14ac:dyDescent="0.2">
      <c r="A136" s="61" t="str">
        <f ca="1">IFERROR(__xludf.DUMMYFUNCTION("""COMPUTED_VALUE"""),"Metasequoia glyptostroboides")</f>
        <v>Metasequoia glyptostroboides</v>
      </c>
      <c r="B136" s="61" t="str">
        <f ca="1">IFERROR(__xludf.DUMMYFUNCTION("""COMPUTED_VALUE"""),"25")</f>
        <v>25</v>
      </c>
      <c r="C136" s="61" t="str">
        <f ca="1">IFERROR(__xludf.DUMMYFUNCTION("""COMPUTED_VALUE"""),"Dawn Redwood")</f>
        <v>Dawn Redwood</v>
      </c>
      <c r="D136" s="61" t="str">
        <f ca="1">IFERROR(__xludf.DUMMYFUNCTION("""COMPUTED_VALUE"""),"#25")</f>
        <v>#25</v>
      </c>
      <c r="E136" s="61" t="str">
        <f ca="1">IFERROR(__xludf.DUMMYFUNCTION("""COMPUTED_VALUE"""),"1.75-2.25""")</f>
        <v>1.75-2.25"</v>
      </c>
      <c r="F136" s="61" t="str">
        <f ca="1">IFERROR(__xludf.DUMMYFUNCTION("""COMPUTED_VALUE"""),"9-12'")</f>
        <v>9-12'</v>
      </c>
      <c r="G136" s="62">
        <f ca="1">IFERROR(__xludf.DUMMYFUNCTION("""COMPUTED_VALUE"""),6)</f>
        <v>6</v>
      </c>
      <c r="H136" s="63">
        <f ca="1">IFERROR(__xludf.DUMMYFUNCTION("""COMPUTED_VALUE"""),150)</f>
        <v>150</v>
      </c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2.75" x14ac:dyDescent="0.2">
      <c r="A137" s="61" t="str">
        <f ca="1">IFERROR(__xludf.DUMMYFUNCTION("""COMPUTED_VALUE"""),"Myrica pennsylvanica")</f>
        <v>Myrica pennsylvanica</v>
      </c>
      <c r="B137" s="61">
        <f ca="1">IFERROR(__xludf.DUMMYFUNCTION("""COMPUTED_VALUE"""),5)</f>
        <v>5</v>
      </c>
      <c r="C137" s="61" t="str">
        <f ca="1">IFERROR(__xludf.DUMMYFUNCTION("""COMPUTED_VALUE"""),"Bayberry")</f>
        <v>Bayberry</v>
      </c>
      <c r="D137" s="61" t="str">
        <f ca="1">IFERROR(__xludf.DUMMYFUNCTION("""COMPUTED_VALUE"""),"#5")</f>
        <v>#5</v>
      </c>
      <c r="E137" s="61" t="str">
        <f ca="1">IFERROR(__xludf.DUMMYFUNCTION("""COMPUTED_VALUE"""),"Multi")</f>
        <v>Multi</v>
      </c>
      <c r="F137" s="61" t="str">
        <f ca="1">IFERROR(__xludf.DUMMYFUNCTION("""COMPUTED_VALUE"""),"2-5'")</f>
        <v>2-5'</v>
      </c>
      <c r="G137" s="62">
        <f ca="1">IFERROR(__xludf.DUMMYFUNCTION("""COMPUTED_VALUE"""),24)</f>
        <v>24</v>
      </c>
      <c r="H137" s="63">
        <f ca="1">IFERROR(__xludf.DUMMYFUNCTION("""COMPUTED_VALUE"""),37)</f>
        <v>37</v>
      </c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2.75" x14ac:dyDescent="0.2">
      <c r="A138" s="61" t="str">
        <f ca="1">IFERROR(__xludf.DUMMYFUNCTION("""COMPUTED_VALUE"""),"Nyssa sylvatica")</f>
        <v>Nyssa sylvatica</v>
      </c>
      <c r="B138" s="61">
        <f ca="1">IFERROR(__xludf.DUMMYFUNCTION("""COMPUTED_VALUE"""),5)</f>
        <v>5</v>
      </c>
      <c r="C138" s="61" t="str">
        <f ca="1">IFERROR(__xludf.DUMMYFUNCTION("""COMPUTED_VALUE"""),"Black Gum")</f>
        <v>Black Gum</v>
      </c>
      <c r="D138" s="61" t="str">
        <f ca="1">IFERROR(__xludf.DUMMYFUNCTION("""COMPUTED_VALUE"""),"#5")</f>
        <v>#5</v>
      </c>
      <c r="E138" s="61" t="str">
        <f ca="1">IFERROR(__xludf.DUMMYFUNCTION("""COMPUTED_VALUE"""),"0.25-1.25""")</f>
        <v>0.25-1.25"</v>
      </c>
      <c r="F138" s="61" t="str">
        <f ca="1">IFERROR(__xludf.DUMMYFUNCTION("""COMPUTED_VALUE"""),"4-7'")</f>
        <v>4-7'</v>
      </c>
      <c r="G138" s="62">
        <f ca="1">IFERROR(__xludf.DUMMYFUNCTION("""COMPUTED_VALUE"""),196)</f>
        <v>196</v>
      </c>
      <c r="H138" s="63">
        <f ca="1">IFERROR(__xludf.DUMMYFUNCTION("""COMPUTED_VALUE"""),50)</f>
        <v>50</v>
      </c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2.75" x14ac:dyDescent="0.2">
      <c r="A139" s="61" t="str">
        <f ca="1">IFERROR(__xludf.DUMMYFUNCTION("""COMPUTED_VALUE"""),"Ostrya virginiana")</f>
        <v>Ostrya virginiana</v>
      </c>
      <c r="B139" s="61">
        <f ca="1">IFERROR(__xludf.DUMMYFUNCTION("""COMPUTED_VALUE"""),5)</f>
        <v>5</v>
      </c>
      <c r="C139" s="61" t="str">
        <f ca="1">IFERROR(__xludf.DUMMYFUNCTION("""COMPUTED_VALUE"""),"American Hophornbeam")</f>
        <v>American Hophornbeam</v>
      </c>
      <c r="D139" s="61" t="str">
        <f ca="1">IFERROR(__xludf.DUMMYFUNCTION("""COMPUTED_VALUE"""),"#5")</f>
        <v>#5</v>
      </c>
      <c r="E139" s="61" t="str">
        <f ca="1">IFERROR(__xludf.DUMMYFUNCTION("""COMPUTED_VALUE"""),"0.25-1""")</f>
        <v>0.25-1"</v>
      </c>
      <c r="F139" s="61" t="str">
        <f ca="1">IFERROR(__xludf.DUMMYFUNCTION("""COMPUTED_VALUE"""),"3-11'")</f>
        <v>3-11'</v>
      </c>
      <c r="G139" s="62">
        <f ca="1">IFERROR(__xludf.DUMMYFUNCTION("""COMPUTED_VALUE"""),313)</f>
        <v>313</v>
      </c>
      <c r="H139" s="63">
        <f ca="1">IFERROR(__xludf.DUMMYFUNCTION("""COMPUTED_VALUE"""),50)</f>
        <v>50</v>
      </c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2.75" x14ac:dyDescent="0.2">
      <c r="A140" s="61" t="str">
        <f ca="1">IFERROR(__xludf.DUMMYFUNCTION("""COMPUTED_VALUE"""),"Ostrya virginiana")</f>
        <v>Ostrya virginiana</v>
      </c>
      <c r="B140" s="61">
        <f ca="1">IFERROR(__xludf.DUMMYFUNCTION("""COMPUTED_VALUE"""),15)</f>
        <v>15</v>
      </c>
      <c r="C140" s="61" t="str">
        <f ca="1">IFERROR(__xludf.DUMMYFUNCTION("""COMPUTED_VALUE"""),"American Hophornbeam")</f>
        <v>American Hophornbeam</v>
      </c>
      <c r="D140" s="61" t="str">
        <f ca="1">IFERROR(__xludf.DUMMYFUNCTION("""COMPUTED_VALUE"""),"#15")</f>
        <v>#15</v>
      </c>
      <c r="E140" s="61" t="str">
        <f ca="1">IFERROR(__xludf.DUMMYFUNCTION("""COMPUTED_VALUE"""),"1-1.5""")</f>
        <v>1-1.5"</v>
      </c>
      <c r="F140" s="61" t="str">
        <f ca="1">IFERROR(__xludf.DUMMYFUNCTION("""COMPUTED_VALUE"""),"9.5-11'")</f>
        <v>9.5-11'</v>
      </c>
      <c r="G140" s="62">
        <f ca="1">IFERROR(__xludf.DUMMYFUNCTION("""COMPUTED_VALUE"""),4)</f>
        <v>4</v>
      </c>
      <c r="H140" s="63">
        <f ca="1">IFERROR(__xludf.DUMMYFUNCTION("""COMPUTED_VALUE"""),135)</f>
        <v>135</v>
      </c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2.75" x14ac:dyDescent="0.2">
      <c r="A141" s="61" t="str">
        <f ca="1">IFERROR(__xludf.DUMMYFUNCTION("""COMPUTED_VALUE"""),"Oxydendrum arboreum")</f>
        <v>Oxydendrum arboreum</v>
      </c>
      <c r="B141" s="61">
        <f ca="1">IFERROR(__xludf.DUMMYFUNCTION("""COMPUTED_VALUE"""),5)</f>
        <v>5</v>
      </c>
      <c r="C141" s="61" t="str">
        <f ca="1">IFERROR(__xludf.DUMMYFUNCTION("""COMPUTED_VALUE"""),"Sourwood")</f>
        <v>Sourwood</v>
      </c>
      <c r="D141" s="61" t="str">
        <f ca="1">IFERROR(__xludf.DUMMYFUNCTION("""COMPUTED_VALUE"""),"#5")</f>
        <v>#5</v>
      </c>
      <c r="E141" s="61" t="str">
        <f ca="1">IFERROR(__xludf.DUMMYFUNCTION("""COMPUTED_VALUE"""),"0.25-0.25""")</f>
        <v>0.25-0.25"</v>
      </c>
      <c r="F141" s="61" t="str">
        <f ca="1">IFERROR(__xludf.DUMMYFUNCTION("""COMPUTED_VALUE"""),"2-7'")</f>
        <v>2-7'</v>
      </c>
      <c r="G141" s="62">
        <f ca="1">IFERROR(__xludf.DUMMYFUNCTION("""COMPUTED_VALUE"""),41)</f>
        <v>41</v>
      </c>
      <c r="H141" s="63">
        <f ca="1">IFERROR(__xludf.DUMMYFUNCTION("""COMPUTED_VALUE"""),50)</f>
        <v>50</v>
      </c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2.75" x14ac:dyDescent="0.2">
      <c r="A142" s="61" t="str">
        <f ca="1">IFERROR(__xludf.DUMMYFUNCTION("""COMPUTED_VALUE"""),"Oxydendrum arboreum")</f>
        <v>Oxydendrum arboreum</v>
      </c>
      <c r="B142" s="61">
        <f ca="1">IFERROR(__xludf.DUMMYFUNCTION("""COMPUTED_VALUE"""),5)</f>
        <v>5</v>
      </c>
      <c r="C142" s="61" t="str">
        <f ca="1">IFERROR(__xludf.DUMMYFUNCTION("""COMPUTED_VALUE"""),"Sourwood")</f>
        <v>Sourwood</v>
      </c>
      <c r="D142" s="61" t="str">
        <f ca="1">IFERROR(__xludf.DUMMYFUNCTION("""COMPUTED_VALUE"""),"#5")</f>
        <v>#5</v>
      </c>
      <c r="E142" s="61" t="str">
        <f ca="1">IFERROR(__xludf.DUMMYFUNCTION("""COMPUTED_VALUE"""),"Multi")</f>
        <v>Multi</v>
      </c>
      <c r="F142" s="61" t="str">
        <f ca="1">IFERROR(__xludf.DUMMYFUNCTION("""COMPUTED_VALUE"""),"2-7'")</f>
        <v>2-7'</v>
      </c>
      <c r="G142" s="62">
        <f ca="1">IFERROR(__xludf.DUMMYFUNCTION("""COMPUTED_VALUE"""),21)</f>
        <v>21</v>
      </c>
      <c r="H142" s="63">
        <f ca="1">IFERROR(__xludf.DUMMYFUNCTION("""COMPUTED_VALUE"""),50)</f>
        <v>50</v>
      </c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2.75" x14ac:dyDescent="0.2">
      <c r="A143" s="61" t="str">
        <f ca="1">IFERROR(__xludf.DUMMYFUNCTION("""COMPUTED_VALUE"""),"Parrotia persica")</f>
        <v>Parrotia persica</v>
      </c>
      <c r="B143" s="61">
        <f ca="1">IFERROR(__xludf.DUMMYFUNCTION("""COMPUTED_VALUE"""),5)</f>
        <v>5</v>
      </c>
      <c r="C143" s="61" t="str">
        <f ca="1">IFERROR(__xludf.DUMMYFUNCTION("""COMPUTED_VALUE"""),"Persian Parrotia")</f>
        <v>Persian Parrotia</v>
      </c>
      <c r="D143" s="61" t="str">
        <f ca="1">IFERROR(__xludf.DUMMYFUNCTION("""COMPUTED_VALUE"""),"#5")</f>
        <v>#5</v>
      </c>
      <c r="E143" s="61" t="str">
        <f ca="1">IFERROR(__xludf.DUMMYFUNCTION("""COMPUTED_VALUE"""),"0.75-1.25""")</f>
        <v>0.75-1.25"</v>
      </c>
      <c r="F143" s="61" t="str">
        <f ca="1">IFERROR(__xludf.DUMMYFUNCTION("""COMPUTED_VALUE"""),"3-6'")</f>
        <v>3-6'</v>
      </c>
      <c r="G143" s="62">
        <f ca="1">IFERROR(__xludf.DUMMYFUNCTION("""COMPUTED_VALUE"""),25)</f>
        <v>25</v>
      </c>
      <c r="H143" s="63">
        <f ca="1">IFERROR(__xludf.DUMMYFUNCTION("""COMPUTED_VALUE"""),50)</f>
        <v>50</v>
      </c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2.75" x14ac:dyDescent="0.2">
      <c r="A144" s="61" t="str">
        <f ca="1">IFERROR(__xludf.DUMMYFUNCTION("""COMPUTED_VALUE"""),"Picea abies")</f>
        <v>Picea abies</v>
      </c>
      <c r="B144" s="61">
        <f ca="1">IFERROR(__xludf.DUMMYFUNCTION("""COMPUTED_VALUE"""),5)</f>
        <v>5</v>
      </c>
      <c r="C144" s="61" t="str">
        <f ca="1">IFERROR(__xludf.DUMMYFUNCTION("""COMPUTED_VALUE"""),"Norway Spruce")</f>
        <v>Norway Spruce</v>
      </c>
      <c r="D144" s="61" t="str">
        <f ca="1">IFERROR(__xludf.DUMMYFUNCTION("""COMPUTED_VALUE"""),"#5")</f>
        <v>#5</v>
      </c>
      <c r="E144" s="61" t="str">
        <f ca="1">IFERROR(__xludf.DUMMYFUNCTION("""COMPUTED_VALUE"""),"1-1.25""")</f>
        <v>1-1.25"</v>
      </c>
      <c r="F144" s="61" t="str">
        <f ca="1">IFERROR(__xludf.DUMMYFUNCTION("""COMPUTED_VALUE"""),"2.5-4'")</f>
        <v>2.5-4'</v>
      </c>
      <c r="G144" s="62">
        <f ca="1">IFERROR(__xludf.DUMMYFUNCTION("""COMPUTED_VALUE"""),31)</f>
        <v>31</v>
      </c>
      <c r="H144" s="63">
        <f ca="1">IFERROR(__xludf.DUMMYFUNCTION("""COMPUTED_VALUE"""),50)</f>
        <v>50</v>
      </c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2.75" x14ac:dyDescent="0.2">
      <c r="A145" s="61" t="str">
        <f ca="1">IFERROR(__xludf.DUMMYFUNCTION("""COMPUTED_VALUE"""),"Pinus strobus")</f>
        <v>Pinus strobus</v>
      </c>
      <c r="B145" s="61">
        <f ca="1">IFERROR(__xludf.DUMMYFUNCTION("""COMPUTED_VALUE"""),5)</f>
        <v>5</v>
      </c>
      <c r="C145" s="61" t="str">
        <f ca="1">IFERROR(__xludf.DUMMYFUNCTION("""COMPUTED_VALUE"""),"Eastern White Pine")</f>
        <v>Eastern White Pine</v>
      </c>
      <c r="D145" s="61" t="str">
        <f ca="1">IFERROR(__xludf.DUMMYFUNCTION("""COMPUTED_VALUE"""),"#5")</f>
        <v>#5</v>
      </c>
      <c r="E145" s="61" t="str">
        <f ca="1">IFERROR(__xludf.DUMMYFUNCTION("""COMPUTED_VALUE"""),"0.5-0.75""")</f>
        <v>0.5-0.75"</v>
      </c>
      <c r="F145" s="61" t="str">
        <f ca="1">IFERROR(__xludf.DUMMYFUNCTION("""COMPUTED_VALUE"""),"2.5-3'")</f>
        <v>2.5-3'</v>
      </c>
      <c r="G145" s="62">
        <f ca="1">IFERROR(__xludf.DUMMYFUNCTION("""COMPUTED_VALUE"""),41)</f>
        <v>41</v>
      </c>
      <c r="H145" s="63">
        <f ca="1">IFERROR(__xludf.DUMMYFUNCTION("""COMPUTED_VALUE"""),50)</f>
        <v>50</v>
      </c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2.75" x14ac:dyDescent="0.2">
      <c r="A146" s="61" t="str">
        <f ca="1">IFERROR(__xludf.DUMMYFUNCTION("""COMPUTED_VALUE"""),"Platanus occidentalis")</f>
        <v>Platanus occidentalis</v>
      </c>
      <c r="B146" s="61">
        <f ca="1">IFERROR(__xludf.DUMMYFUNCTION("""COMPUTED_VALUE"""),5)</f>
        <v>5</v>
      </c>
      <c r="C146" s="61" t="str">
        <f ca="1">IFERROR(__xludf.DUMMYFUNCTION("""COMPUTED_VALUE"""),"American Sycamore")</f>
        <v>American Sycamore</v>
      </c>
      <c r="D146" s="61" t="str">
        <f ca="1">IFERROR(__xludf.DUMMYFUNCTION("""COMPUTED_VALUE"""),"#5")</f>
        <v>#5</v>
      </c>
      <c r="E146" s="61" t="str">
        <f ca="1">IFERROR(__xludf.DUMMYFUNCTION("""COMPUTED_VALUE"""),"0.25-1.25""")</f>
        <v>0.25-1.25"</v>
      </c>
      <c r="F146" s="61" t="str">
        <f ca="1">IFERROR(__xludf.DUMMYFUNCTION("""COMPUTED_VALUE"""),"1-11'")</f>
        <v>1-11'</v>
      </c>
      <c r="G146" s="62">
        <f ca="1">IFERROR(__xludf.DUMMYFUNCTION("""COMPUTED_VALUE"""),51)</f>
        <v>51</v>
      </c>
      <c r="H146" s="63">
        <f ca="1">IFERROR(__xludf.DUMMYFUNCTION("""COMPUTED_VALUE"""),50)</f>
        <v>50</v>
      </c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2.75" x14ac:dyDescent="0.2">
      <c r="A147" s="61" t="str">
        <f ca="1">IFERROR(__xludf.DUMMYFUNCTION("""COMPUTED_VALUE"""),"Platanus occidentalis")</f>
        <v>Platanus occidentalis</v>
      </c>
      <c r="B147" s="61">
        <f ca="1">IFERROR(__xludf.DUMMYFUNCTION("""COMPUTED_VALUE"""),15)</f>
        <v>15</v>
      </c>
      <c r="C147" s="61" t="str">
        <f ca="1">IFERROR(__xludf.DUMMYFUNCTION("""COMPUTED_VALUE"""),"American Sycamore")</f>
        <v>American Sycamore</v>
      </c>
      <c r="D147" s="61" t="str">
        <f ca="1">IFERROR(__xludf.DUMMYFUNCTION("""COMPUTED_VALUE"""),"#15")</f>
        <v>#15</v>
      </c>
      <c r="E147" s="61" t="str">
        <f ca="1">IFERROR(__xludf.DUMMYFUNCTION("""COMPUTED_VALUE"""),"1.25-1.5""")</f>
        <v>1.25-1.5"</v>
      </c>
      <c r="F147" s="61" t="str">
        <f ca="1">IFERROR(__xludf.DUMMYFUNCTION("""COMPUTED_VALUE"""),"12-14'")</f>
        <v>12-14'</v>
      </c>
      <c r="G147" s="62">
        <f ca="1">IFERROR(__xludf.DUMMYFUNCTION("""COMPUTED_VALUE"""),1)</f>
        <v>1</v>
      </c>
      <c r="H147" s="63">
        <f ca="1">IFERROR(__xludf.DUMMYFUNCTION("""COMPUTED_VALUE"""),135)</f>
        <v>135</v>
      </c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2.75" x14ac:dyDescent="0.2">
      <c r="A148" s="61" t="str">
        <f ca="1">IFERROR(__xludf.DUMMYFUNCTION("""COMPUTED_VALUE"""),"Platanus x acerifolia 'Exclamation'")</f>
        <v>Platanus x acerifolia 'Exclamation'</v>
      </c>
      <c r="B148" s="61">
        <f ca="1">IFERROR(__xludf.DUMMYFUNCTION("""COMPUTED_VALUE"""),5)</f>
        <v>5</v>
      </c>
      <c r="C148" s="61" t="str">
        <f ca="1">IFERROR(__xludf.DUMMYFUNCTION("""COMPUTED_VALUE"""),"Exclamation London Plane Tree")</f>
        <v>Exclamation London Plane Tree</v>
      </c>
      <c r="D148" s="61" t="str">
        <f ca="1">IFERROR(__xludf.DUMMYFUNCTION("""COMPUTED_VALUE"""),"#5")</f>
        <v>#5</v>
      </c>
      <c r="E148" s="61" t="str">
        <f ca="1">IFERROR(__xludf.DUMMYFUNCTION("""COMPUTED_VALUE"""),"0.75-1""")</f>
        <v>0.75-1"</v>
      </c>
      <c r="F148" s="61" t="str">
        <f ca="1">IFERROR(__xludf.DUMMYFUNCTION("""COMPUTED_VALUE"""),"5-6'")</f>
        <v>5-6'</v>
      </c>
      <c r="G148" s="62">
        <f ca="1">IFERROR(__xludf.DUMMYFUNCTION("""COMPUTED_VALUE"""),6)</f>
        <v>6</v>
      </c>
      <c r="H148" s="63">
        <f ca="1">IFERROR(__xludf.DUMMYFUNCTION("""COMPUTED_VALUE"""),50)</f>
        <v>50</v>
      </c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2.75" x14ac:dyDescent="0.2">
      <c r="A149" s="61" t="str">
        <f ca="1">IFERROR(__xludf.DUMMYFUNCTION("""COMPUTED_VALUE"""),"Platanus x acerifolia 'Exclamation'")</f>
        <v>Platanus x acerifolia 'Exclamation'</v>
      </c>
      <c r="B149" s="61">
        <f ca="1">IFERROR(__xludf.DUMMYFUNCTION("""COMPUTED_VALUE"""),10)</f>
        <v>10</v>
      </c>
      <c r="C149" s="61" t="str">
        <f ca="1">IFERROR(__xludf.DUMMYFUNCTION("""COMPUTED_VALUE"""),"Exclamation London Plane Tree")</f>
        <v>Exclamation London Plane Tree</v>
      </c>
      <c r="D149" s="61" t="str">
        <f ca="1">IFERROR(__xludf.DUMMYFUNCTION("""COMPUTED_VALUE"""),"#10")</f>
        <v>#10</v>
      </c>
      <c r="E149" s="61" t="str">
        <f ca="1">IFERROR(__xludf.DUMMYFUNCTION("""COMPUTED_VALUE"""),"0.75-2""")</f>
        <v>0.75-2"</v>
      </c>
      <c r="F149" s="61" t="str">
        <f ca="1">IFERROR(__xludf.DUMMYFUNCTION("""COMPUTED_VALUE"""),"6-14'")</f>
        <v>6-14'</v>
      </c>
      <c r="G149" s="62">
        <f ca="1">IFERROR(__xludf.DUMMYFUNCTION("""COMPUTED_VALUE"""),44)</f>
        <v>44</v>
      </c>
      <c r="H149" s="63">
        <f ca="1">IFERROR(__xludf.DUMMYFUNCTION("""COMPUTED_VALUE"""),100)</f>
        <v>100</v>
      </c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2.75" x14ac:dyDescent="0.2">
      <c r="A150" s="61" t="str">
        <f ca="1">IFERROR(__xludf.DUMMYFUNCTION("""COMPUTED_VALUE"""),"Platanus x acerifolia 'Exclamation'")</f>
        <v>Platanus x acerifolia 'Exclamation'</v>
      </c>
      <c r="B150" s="61">
        <f ca="1">IFERROR(__xludf.DUMMYFUNCTION("""COMPUTED_VALUE"""),15)</f>
        <v>15</v>
      </c>
      <c r="C150" s="61" t="str">
        <f ca="1">IFERROR(__xludf.DUMMYFUNCTION("""COMPUTED_VALUE"""),"Exclamation London Plane Tree")</f>
        <v>Exclamation London Plane Tree</v>
      </c>
      <c r="D150" s="61" t="str">
        <f ca="1">IFERROR(__xludf.DUMMYFUNCTION("""COMPUTED_VALUE"""),"#15")</f>
        <v>#15</v>
      </c>
      <c r="E150" s="61" t="str">
        <f ca="1">IFERROR(__xludf.DUMMYFUNCTION("""COMPUTED_VALUE"""),"1.25-2""")</f>
        <v>1.25-2"</v>
      </c>
      <c r="F150" s="61" t="str">
        <f ca="1">IFERROR(__xludf.DUMMYFUNCTION("""COMPUTED_VALUE"""),"7-12'")</f>
        <v>7-12'</v>
      </c>
      <c r="G150" s="62">
        <f ca="1">IFERROR(__xludf.DUMMYFUNCTION("""COMPUTED_VALUE"""),16)</f>
        <v>16</v>
      </c>
      <c r="H150" s="63">
        <f ca="1">IFERROR(__xludf.DUMMYFUNCTION("""COMPUTED_VALUE"""),135)</f>
        <v>135</v>
      </c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2.75" x14ac:dyDescent="0.2">
      <c r="A151" s="61" t="str">
        <f ca="1">IFERROR(__xludf.DUMMYFUNCTION("""COMPUTED_VALUE"""),"Populus tremuloides")</f>
        <v>Populus tremuloides</v>
      </c>
      <c r="B151" s="61">
        <f ca="1">IFERROR(__xludf.DUMMYFUNCTION("""COMPUTED_VALUE"""),5)</f>
        <v>5</v>
      </c>
      <c r="C151" s="61" t="str">
        <f ca="1">IFERROR(__xludf.DUMMYFUNCTION("""COMPUTED_VALUE"""),"Quaking Aspen")</f>
        <v>Quaking Aspen</v>
      </c>
      <c r="D151" s="61" t="str">
        <f ca="1">IFERROR(__xludf.DUMMYFUNCTION("""COMPUTED_VALUE"""),"#5")</f>
        <v>#5</v>
      </c>
      <c r="E151" s="61" t="str">
        <f ca="1">IFERROR(__xludf.DUMMYFUNCTION("""COMPUTED_VALUE"""),"0.5-1""")</f>
        <v>0.5-1"</v>
      </c>
      <c r="F151" s="61" t="str">
        <f ca="1">IFERROR(__xludf.DUMMYFUNCTION("""COMPUTED_VALUE"""),"5-9'")</f>
        <v>5-9'</v>
      </c>
      <c r="G151" s="62">
        <f ca="1">IFERROR(__xludf.DUMMYFUNCTION("""COMPUTED_VALUE"""),56)</f>
        <v>56</v>
      </c>
      <c r="H151" s="63">
        <f ca="1">IFERROR(__xludf.DUMMYFUNCTION("""COMPUTED_VALUE"""),50)</f>
        <v>50</v>
      </c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2.75" x14ac:dyDescent="0.2">
      <c r="A152" s="61" t="str">
        <f ca="1">IFERROR(__xludf.DUMMYFUNCTION("""COMPUTED_VALUE"""),"Prunus 'Autumnalis'")</f>
        <v>Prunus 'Autumnalis'</v>
      </c>
      <c r="B152" s="61">
        <f ca="1">IFERROR(__xludf.DUMMYFUNCTION("""COMPUTED_VALUE"""),10)</f>
        <v>10</v>
      </c>
      <c r="C152" s="61" t="str">
        <f ca="1">IFERROR(__xludf.DUMMYFUNCTION("""COMPUTED_VALUE"""),"Autumnalis Cherry")</f>
        <v>Autumnalis Cherry</v>
      </c>
      <c r="D152" s="61" t="str">
        <f ca="1">IFERROR(__xludf.DUMMYFUNCTION("""COMPUTED_VALUE"""),"#10")</f>
        <v>#10</v>
      </c>
      <c r="E152" s="61" t="str">
        <f ca="1">IFERROR(__xludf.DUMMYFUNCTION("""COMPUTED_VALUE"""),"0.75-1.75""")</f>
        <v>0.75-1.75"</v>
      </c>
      <c r="F152" s="61" t="str">
        <f ca="1">IFERROR(__xludf.DUMMYFUNCTION("""COMPUTED_VALUE"""),"6-11'")</f>
        <v>6-11'</v>
      </c>
      <c r="G152" s="62">
        <f ca="1">IFERROR(__xludf.DUMMYFUNCTION("""COMPUTED_VALUE"""),31)</f>
        <v>31</v>
      </c>
      <c r="H152" s="63">
        <f ca="1">IFERROR(__xludf.DUMMYFUNCTION("""COMPUTED_VALUE"""),100)</f>
        <v>100</v>
      </c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2.75" x14ac:dyDescent="0.2">
      <c r="A153" s="61" t="str">
        <f ca="1">IFERROR(__xludf.DUMMYFUNCTION("""COMPUTED_VALUE"""),"Prunus 'Autumnalis'")</f>
        <v>Prunus 'Autumnalis'</v>
      </c>
      <c r="B153" s="61">
        <f ca="1">IFERROR(__xludf.DUMMYFUNCTION("""COMPUTED_VALUE"""),15)</f>
        <v>15</v>
      </c>
      <c r="C153" s="61" t="str">
        <f ca="1">IFERROR(__xludf.DUMMYFUNCTION("""COMPUTED_VALUE"""),"Autumnalis Cherry")</f>
        <v>Autumnalis Cherry</v>
      </c>
      <c r="D153" s="61" t="str">
        <f ca="1">IFERROR(__xludf.DUMMYFUNCTION("""COMPUTED_VALUE"""),"#15")</f>
        <v>#15</v>
      </c>
      <c r="E153" s="61" t="str">
        <f ca="1">IFERROR(__xludf.DUMMYFUNCTION("""COMPUTED_VALUE"""),"1-1.25""")</f>
        <v>1-1.25"</v>
      </c>
      <c r="F153" s="61" t="str">
        <f ca="1">IFERROR(__xludf.DUMMYFUNCTION("""COMPUTED_VALUE"""),"8-11'")</f>
        <v>8-11'</v>
      </c>
      <c r="G153" s="62">
        <f ca="1">IFERROR(__xludf.DUMMYFUNCTION("""COMPUTED_VALUE"""),3)</f>
        <v>3</v>
      </c>
      <c r="H153" s="63">
        <f ca="1">IFERROR(__xludf.DUMMYFUNCTION("""COMPUTED_VALUE"""),135)</f>
        <v>135</v>
      </c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2.75" x14ac:dyDescent="0.2">
      <c r="A154" s="61" t="str">
        <f ca="1">IFERROR(__xludf.DUMMYFUNCTION("""COMPUTED_VALUE"""),"Prunus 'Mt. Fuji'")</f>
        <v>Prunus 'Mt. Fuji'</v>
      </c>
      <c r="B154" s="61">
        <f ca="1">IFERROR(__xludf.DUMMYFUNCTION("""COMPUTED_VALUE"""),15)</f>
        <v>15</v>
      </c>
      <c r="C154" s="61" t="str">
        <f ca="1">IFERROR(__xludf.DUMMYFUNCTION("""COMPUTED_VALUE"""),"Mt Fuji Cherry")</f>
        <v>Mt Fuji Cherry</v>
      </c>
      <c r="D154" s="61" t="str">
        <f ca="1">IFERROR(__xludf.DUMMYFUNCTION("""COMPUTED_VALUE"""),"#15")</f>
        <v>#15</v>
      </c>
      <c r="E154" s="61" t="str">
        <f ca="1">IFERROR(__xludf.DUMMYFUNCTION("""COMPUTED_VALUE"""),"1.25-1.25""")</f>
        <v>1.25-1.25"</v>
      </c>
      <c r="F154" s="61" t="str">
        <f ca="1">IFERROR(__xludf.DUMMYFUNCTION("""COMPUTED_VALUE"""),"9-10'")</f>
        <v>9-10'</v>
      </c>
      <c r="G154" s="62">
        <f ca="1">IFERROR(__xludf.DUMMYFUNCTION("""COMPUTED_VALUE"""),5)</f>
        <v>5</v>
      </c>
      <c r="H154" s="63">
        <f ca="1">IFERROR(__xludf.DUMMYFUNCTION("""COMPUTED_VALUE"""),135)</f>
        <v>135</v>
      </c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2.75" x14ac:dyDescent="0.2">
      <c r="A155" s="61" t="str">
        <f ca="1">IFERROR(__xludf.DUMMYFUNCTION("""COMPUTED_VALUE"""),"Prunus 'Okame'")</f>
        <v>Prunus 'Okame'</v>
      </c>
      <c r="B155" s="61">
        <f ca="1">IFERROR(__xludf.DUMMYFUNCTION("""COMPUTED_VALUE"""),10)</f>
        <v>10</v>
      </c>
      <c r="C155" s="61" t="str">
        <f ca="1">IFERROR(__xludf.DUMMYFUNCTION("""COMPUTED_VALUE"""),"Okame Cherry")</f>
        <v>Okame Cherry</v>
      </c>
      <c r="D155" s="61" t="str">
        <f ca="1">IFERROR(__xludf.DUMMYFUNCTION("""COMPUTED_VALUE"""),"#10")</f>
        <v>#10</v>
      </c>
      <c r="E155" s="61" t="str">
        <f ca="1">IFERROR(__xludf.DUMMYFUNCTION("""COMPUTED_VALUE"""),"0.75-1.75""")</f>
        <v>0.75-1.75"</v>
      </c>
      <c r="F155" s="61" t="str">
        <f ca="1">IFERROR(__xludf.DUMMYFUNCTION("""COMPUTED_VALUE"""),"6-14'")</f>
        <v>6-14'</v>
      </c>
      <c r="G155" s="62">
        <f ca="1">IFERROR(__xludf.DUMMYFUNCTION("""COMPUTED_VALUE"""),43)</f>
        <v>43</v>
      </c>
      <c r="H155" s="63">
        <f ca="1">IFERROR(__xludf.DUMMYFUNCTION("""COMPUTED_VALUE"""),100)</f>
        <v>100</v>
      </c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2.75" x14ac:dyDescent="0.2">
      <c r="A156" s="61" t="str">
        <f ca="1">IFERROR(__xludf.DUMMYFUNCTION("""COMPUTED_VALUE"""),"Prunus 'Okame'")</f>
        <v>Prunus 'Okame'</v>
      </c>
      <c r="B156" s="61">
        <f ca="1">IFERROR(__xludf.DUMMYFUNCTION("""COMPUTED_VALUE"""),15)</f>
        <v>15</v>
      </c>
      <c r="C156" s="61" t="str">
        <f ca="1">IFERROR(__xludf.DUMMYFUNCTION("""COMPUTED_VALUE"""),"Okame Cherry")</f>
        <v>Okame Cherry</v>
      </c>
      <c r="D156" s="61" t="str">
        <f ca="1">IFERROR(__xludf.DUMMYFUNCTION("""COMPUTED_VALUE"""),"#15")</f>
        <v>#15</v>
      </c>
      <c r="E156" s="61" t="str">
        <f ca="1">IFERROR(__xludf.DUMMYFUNCTION("""COMPUTED_VALUE"""),"0.75-1.25""")</f>
        <v>0.75-1.25"</v>
      </c>
      <c r="F156" s="61" t="str">
        <f ca="1">IFERROR(__xludf.DUMMYFUNCTION("""COMPUTED_VALUE"""),"8-11'")</f>
        <v>8-11'</v>
      </c>
      <c r="G156" s="62">
        <f ca="1">IFERROR(__xludf.DUMMYFUNCTION("""COMPUTED_VALUE"""),33)</f>
        <v>33</v>
      </c>
      <c r="H156" s="63">
        <f ca="1">IFERROR(__xludf.DUMMYFUNCTION("""COMPUTED_VALUE"""),135)</f>
        <v>135</v>
      </c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2.75" x14ac:dyDescent="0.2">
      <c r="A157" s="61" t="str">
        <f ca="1">IFERROR(__xludf.DUMMYFUNCTION("""COMPUTED_VALUE"""),"Prunus × yedoensis")</f>
        <v>Prunus × yedoensis</v>
      </c>
      <c r="B157" s="61">
        <f ca="1">IFERROR(__xludf.DUMMYFUNCTION("""COMPUTED_VALUE"""),5)</f>
        <v>5</v>
      </c>
      <c r="C157" s="61" t="str">
        <f ca="1">IFERROR(__xludf.DUMMYFUNCTION("""COMPUTED_VALUE"""),"Yoshino Cherry")</f>
        <v>Yoshino Cherry</v>
      </c>
      <c r="D157" s="61" t="str">
        <f ca="1">IFERROR(__xludf.DUMMYFUNCTION("""COMPUTED_VALUE"""),"#5")</f>
        <v>#5</v>
      </c>
      <c r="E157" s="61" t="str">
        <f ca="1">IFERROR(__xludf.DUMMYFUNCTION("""COMPUTED_VALUE"""),"0.5-0.75""")</f>
        <v>0.5-0.75"</v>
      </c>
      <c r="F157" s="61" t="str">
        <f ca="1">IFERROR(__xludf.DUMMYFUNCTION("""COMPUTED_VALUE"""),"4-7'")</f>
        <v>4-7'</v>
      </c>
      <c r="G157" s="62">
        <f ca="1">IFERROR(__xludf.DUMMYFUNCTION("""COMPUTED_VALUE"""),38)</f>
        <v>38</v>
      </c>
      <c r="H157" s="63">
        <f ca="1">IFERROR(__xludf.DUMMYFUNCTION("""COMPUTED_VALUE"""),50)</f>
        <v>50</v>
      </c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2.75" x14ac:dyDescent="0.2">
      <c r="A158" s="61" t="str">
        <f ca="1">IFERROR(__xludf.DUMMYFUNCTION("""COMPUTED_VALUE"""),"Prunus × yedoensis")</f>
        <v>Prunus × yedoensis</v>
      </c>
      <c r="B158" s="61">
        <f ca="1">IFERROR(__xludf.DUMMYFUNCTION("""COMPUTED_VALUE"""),15)</f>
        <v>15</v>
      </c>
      <c r="C158" s="61" t="str">
        <f ca="1">IFERROR(__xludf.DUMMYFUNCTION("""COMPUTED_VALUE"""),"Yoshino Cherry")</f>
        <v>Yoshino Cherry</v>
      </c>
      <c r="D158" s="61" t="str">
        <f ca="1">IFERROR(__xludf.DUMMYFUNCTION("""COMPUTED_VALUE"""),"#15")</f>
        <v>#15</v>
      </c>
      <c r="E158" s="61" t="str">
        <f ca="1">IFERROR(__xludf.DUMMYFUNCTION("""COMPUTED_VALUE"""),"1-1.5""")</f>
        <v>1-1.5"</v>
      </c>
      <c r="F158" s="61" t="str">
        <f ca="1">IFERROR(__xludf.DUMMYFUNCTION("""COMPUTED_VALUE"""),"9-10.5'")</f>
        <v>9-10.5'</v>
      </c>
      <c r="G158" s="62">
        <f ca="1">IFERROR(__xludf.DUMMYFUNCTION("""COMPUTED_VALUE"""),27)</f>
        <v>27</v>
      </c>
      <c r="H158" s="63">
        <f ca="1">IFERROR(__xludf.DUMMYFUNCTION("""COMPUTED_VALUE"""),135)</f>
        <v>135</v>
      </c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2.75" x14ac:dyDescent="0.2">
      <c r="A159" s="61" t="str">
        <f ca="1">IFERROR(__xludf.DUMMYFUNCTION("""COMPUTED_VALUE"""),"Prunus americana")</f>
        <v>Prunus americana</v>
      </c>
      <c r="B159" s="61">
        <f ca="1">IFERROR(__xludf.DUMMYFUNCTION("""COMPUTED_VALUE"""),5)</f>
        <v>5</v>
      </c>
      <c r="C159" s="61" t="str">
        <f ca="1">IFERROR(__xludf.DUMMYFUNCTION("""COMPUTED_VALUE"""),"American Plum")</f>
        <v>American Plum</v>
      </c>
      <c r="D159" s="61" t="str">
        <f ca="1">IFERROR(__xludf.DUMMYFUNCTION("""COMPUTED_VALUE"""),"#5")</f>
        <v>#5</v>
      </c>
      <c r="E159" s="61" t="str">
        <f ca="1">IFERROR(__xludf.DUMMYFUNCTION("""COMPUTED_VALUE"""),"0.25-1""")</f>
        <v>0.25-1"</v>
      </c>
      <c r="F159" s="61" t="str">
        <f ca="1">IFERROR(__xludf.DUMMYFUNCTION("""COMPUTED_VALUE"""),"2-10'")</f>
        <v>2-10'</v>
      </c>
      <c r="G159" s="62">
        <f ca="1">IFERROR(__xludf.DUMMYFUNCTION("""COMPUTED_VALUE"""),39)</f>
        <v>39</v>
      </c>
      <c r="H159" s="63">
        <f ca="1">IFERROR(__xludf.DUMMYFUNCTION("""COMPUTED_VALUE"""),50)</f>
        <v>50</v>
      </c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2.75" x14ac:dyDescent="0.2">
      <c r="A160" s="61" t="str">
        <f ca="1">IFERROR(__xludf.DUMMYFUNCTION("""COMPUTED_VALUE"""),"Prunus cerasifera 'Thundercloud'")</f>
        <v>Prunus cerasifera 'Thundercloud'</v>
      </c>
      <c r="B160" s="61">
        <f ca="1">IFERROR(__xludf.DUMMYFUNCTION("""COMPUTED_VALUE"""),15)</f>
        <v>15</v>
      </c>
      <c r="C160" s="61" t="str">
        <f ca="1">IFERROR(__xludf.DUMMYFUNCTION("""COMPUTED_VALUE"""),"Thundercloud Plum")</f>
        <v>Thundercloud Plum</v>
      </c>
      <c r="D160" s="61" t="str">
        <f ca="1">IFERROR(__xludf.DUMMYFUNCTION("""COMPUTED_VALUE"""),"#15")</f>
        <v>#15</v>
      </c>
      <c r="E160" s="61" t="str">
        <f ca="1">IFERROR(__xludf.DUMMYFUNCTION("""COMPUTED_VALUE"""),"1-2""")</f>
        <v>1-2"</v>
      </c>
      <c r="F160" s="61" t="str">
        <f ca="1">IFERROR(__xludf.DUMMYFUNCTION("""COMPUTED_VALUE"""),"10-12'")</f>
        <v>10-12'</v>
      </c>
      <c r="G160" s="62">
        <f ca="1">IFERROR(__xludf.DUMMYFUNCTION("""COMPUTED_VALUE"""),11)</f>
        <v>11</v>
      </c>
      <c r="H160" s="63">
        <f ca="1">IFERROR(__xludf.DUMMYFUNCTION("""COMPUTED_VALUE"""),135)</f>
        <v>135</v>
      </c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2.75" x14ac:dyDescent="0.2">
      <c r="A161" s="61" t="str">
        <f ca="1">IFERROR(__xludf.DUMMYFUNCTION("""COMPUTED_VALUE"""),"Prunus serotina")</f>
        <v>Prunus serotina</v>
      </c>
      <c r="B161" s="61">
        <f ca="1">IFERROR(__xludf.DUMMYFUNCTION("""COMPUTED_VALUE"""),5)</f>
        <v>5</v>
      </c>
      <c r="C161" s="61" t="str">
        <f ca="1">IFERROR(__xludf.DUMMYFUNCTION("""COMPUTED_VALUE"""),"Black Cherry")</f>
        <v>Black Cherry</v>
      </c>
      <c r="D161" s="61" t="str">
        <f ca="1">IFERROR(__xludf.DUMMYFUNCTION("""COMPUTED_VALUE"""),"#5")</f>
        <v>#5</v>
      </c>
      <c r="E161" s="61" t="str">
        <f ca="1">IFERROR(__xludf.DUMMYFUNCTION("""COMPUTED_VALUE"""),"0.25-1.25""")</f>
        <v>0.25-1.25"</v>
      </c>
      <c r="F161" s="61" t="str">
        <f ca="1">IFERROR(__xludf.DUMMYFUNCTION("""COMPUTED_VALUE"""),"4-7'")</f>
        <v>4-7'</v>
      </c>
      <c r="G161" s="62">
        <f ca="1">IFERROR(__xludf.DUMMYFUNCTION("""COMPUTED_VALUE"""),32)</f>
        <v>32</v>
      </c>
      <c r="H161" s="63">
        <f ca="1">IFERROR(__xludf.DUMMYFUNCTION("""COMPUTED_VALUE"""),50)</f>
        <v>50</v>
      </c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2.75" x14ac:dyDescent="0.2">
      <c r="A162" s="61" t="str">
        <f ca="1">IFERROR(__xludf.DUMMYFUNCTION("""COMPUTED_VALUE"""),"Prunus serrulata 'Kwanzan'")</f>
        <v>Prunus serrulata 'Kwanzan'</v>
      </c>
      <c r="B162" s="61">
        <f ca="1">IFERROR(__xludf.DUMMYFUNCTION("""COMPUTED_VALUE"""),5)</f>
        <v>5</v>
      </c>
      <c r="C162" s="61" t="str">
        <f ca="1">IFERROR(__xludf.DUMMYFUNCTION("""COMPUTED_VALUE"""),"Kwanzan Cherry")</f>
        <v>Kwanzan Cherry</v>
      </c>
      <c r="D162" s="61" t="str">
        <f ca="1">IFERROR(__xludf.DUMMYFUNCTION("""COMPUTED_VALUE"""),"#5")</f>
        <v>#5</v>
      </c>
      <c r="E162" s="61" t="str">
        <f ca="1">IFERROR(__xludf.DUMMYFUNCTION("""COMPUTED_VALUE"""),"0.25-1.5""")</f>
        <v>0.25-1.5"</v>
      </c>
      <c r="F162" s="61" t="str">
        <f ca="1">IFERROR(__xludf.DUMMYFUNCTION("""COMPUTED_VALUE"""),"4-8'")</f>
        <v>4-8'</v>
      </c>
      <c r="G162" s="62">
        <f ca="1">IFERROR(__xludf.DUMMYFUNCTION("""COMPUTED_VALUE"""),27)</f>
        <v>27</v>
      </c>
      <c r="H162" s="63">
        <f ca="1">IFERROR(__xludf.DUMMYFUNCTION("""COMPUTED_VALUE"""),50)</f>
        <v>50</v>
      </c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2.75" x14ac:dyDescent="0.2">
      <c r="A163" s="61" t="str">
        <f ca="1">IFERROR(__xludf.DUMMYFUNCTION("""COMPUTED_VALUE"""),"Prunus serrulata 'Kwanzan'")</f>
        <v>Prunus serrulata 'Kwanzan'</v>
      </c>
      <c r="B163" s="61">
        <f ca="1">IFERROR(__xludf.DUMMYFUNCTION("""COMPUTED_VALUE"""),10)</f>
        <v>10</v>
      </c>
      <c r="C163" s="61" t="str">
        <f ca="1">IFERROR(__xludf.DUMMYFUNCTION("""COMPUTED_VALUE"""),"Kwanzan Cherry")</f>
        <v>Kwanzan Cherry</v>
      </c>
      <c r="D163" s="61" t="str">
        <f ca="1">IFERROR(__xludf.DUMMYFUNCTION("""COMPUTED_VALUE"""),"#10")</f>
        <v>#10</v>
      </c>
      <c r="E163" s="61" t="str">
        <f ca="1">IFERROR(__xludf.DUMMYFUNCTION("""COMPUTED_VALUE"""),"0.75-2""")</f>
        <v>0.75-2"</v>
      </c>
      <c r="F163" s="61" t="str">
        <f ca="1">IFERROR(__xludf.DUMMYFUNCTION("""COMPUTED_VALUE"""),"6-10'")</f>
        <v>6-10'</v>
      </c>
      <c r="G163" s="62">
        <f ca="1">IFERROR(__xludf.DUMMYFUNCTION("""COMPUTED_VALUE"""),28)</f>
        <v>28</v>
      </c>
      <c r="H163" s="63">
        <f ca="1">IFERROR(__xludf.DUMMYFUNCTION("""COMPUTED_VALUE"""),100)</f>
        <v>100</v>
      </c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2.75" x14ac:dyDescent="0.2">
      <c r="A164" s="61" t="str">
        <f ca="1">IFERROR(__xludf.DUMMYFUNCTION("""COMPUTED_VALUE"""),"Prunus subhirtella 'Snow Fountains'")</f>
        <v>Prunus subhirtella 'Snow Fountains'</v>
      </c>
      <c r="B164" s="61">
        <f ca="1">IFERROR(__xludf.DUMMYFUNCTION("""COMPUTED_VALUE"""),15)</f>
        <v>15</v>
      </c>
      <c r="C164" s="61" t="str">
        <f ca="1">IFERROR(__xludf.DUMMYFUNCTION("""COMPUTED_VALUE"""),"Snow Fountains Weeping Cherry")</f>
        <v>Snow Fountains Weeping Cherry</v>
      </c>
      <c r="D164" s="61" t="str">
        <f ca="1">IFERROR(__xludf.DUMMYFUNCTION("""COMPUTED_VALUE"""),"#15")</f>
        <v>#15</v>
      </c>
      <c r="E164" s="61" t="str">
        <f ca="1">IFERROR(__xludf.DUMMYFUNCTION("""COMPUTED_VALUE"""),"1.25-2.25""")</f>
        <v>1.25-2.25"</v>
      </c>
      <c r="F164" s="61" t="str">
        <f ca="1">IFERROR(__xludf.DUMMYFUNCTION("""COMPUTED_VALUE"""),"6-7'")</f>
        <v>6-7'</v>
      </c>
      <c r="G164" s="62">
        <f ca="1">IFERROR(__xludf.DUMMYFUNCTION("""COMPUTED_VALUE"""),17)</f>
        <v>17</v>
      </c>
      <c r="H164" s="63">
        <f ca="1">IFERROR(__xludf.DUMMYFUNCTION("""COMPUTED_VALUE"""),135)</f>
        <v>135</v>
      </c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2.75" x14ac:dyDescent="0.2">
      <c r="A165" s="61" t="str">
        <f ca="1">IFERROR(__xludf.DUMMYFUNCTION("""COMPUTED_VALUE"""),"Prunus subhirtella ""Pendula plena rosea""")</f>
        <v>Prunus subhirtella "Pendula plena rosea"</v>
      </c>
      <c r="B165" s="61">
        <f ca="1">IFERROR(__xludf.DUMMYFUNCTION("""COMPUTED_VALUE"""),15)</f>
        <v>15</v>
      </c>
      <c r="C165" s="61" t="str">
        <f ca="1">IFERROR(__xludf.DUMMYFUNCTION("""COMPUTED_VALUE"""),"Double Pink Weeping Cherry")</f>
        <v>Double Pink Weeping Cherry</v>
      </c>
      <c r="D165" s="61" t="str">
        <f ca="1">IFERROR(__xludf.DUMMYFUNCTION("""COMPUTED_VALUE"""),"#15")</f>
        <v>#15</v>
      </c>
      <c r="E165" s="61" t="str">
        <f ca="1">IFERROR(__xludf.DUMMYFUNCTION("""COMPUTED_VALUE"""),"1-1.5""")</f>
        <v>1-1.5"</v>
      </c>
      <c r="F165" s="61" t="str">
        <f ca="1">IFERROR(__xludf.DUMMYFUNCTION("""COMPUTED_VALUE"""),"6.5-7'")</f>
        <v>6.5-7'</v>
      </c>
      <c r="G165" s="62">
        <f ca="1">IFERROR(__xludf.DUMMYFUNCTION("""COMPUTED_VALUE"""),12)</f>
        <v>12</v>
      </c>
      <c r="H165" s="63">
        <f ca="1">IFERROR(__xludf.DUMMYFUNCTION("""COMPUTED_VALUE"""),135)</f>
        <v>135</v>
      </c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2.75" x14ac:dyDescent="0.2">
      <c r="A166" s="61" t="str">
        <f ca="1">IFERROR(__xludf.DUMMYFUNCTION("""COMPUTED_VALUE"""),"Prunus virginiana")</f>
        <v>Prunus virginiana</v>
      </c>
      <c r="B166" s="61">
        <f ca="1">IFERROR(__xludf.DUMMYFUNCTION("""COMPUTED_VALUE"""),5)</f>
        <v>5</v>
      </c>
      <c r="C166" s="61" t="str">
        <f ca="1">IFERROR(__xludf.DUMMYFUNCTION("""COMPUTED_VALUE"""),"Chokecherry")</f>
        <v>Chokecherry</v>
      </c>
      <c r="D166" s="61" t="str">
        <f ca="1">IFERROR(__xludf.DUMMYFUNCTION("""COMPUTED_VALUE"""),"#5")</f>
        <v>#5</v>
      </c>
      <c r="E166" s="61" t="str">
        <f ca="1">IFERROR(__xludf.DUMMYFUNCTION("""COMPUTED_VALUE"""),"Multi")</f>
        <v>Multi</v>
      </c>
      <c r="F166" s="61" t="str">
        <f ca="1">IFERROR(__xludf.DUMMYFUNCTION("""COMPUTED_VALUE"""),"1.5-3'")</f>
        <v>1.5-3'</v>
      </c>
      <c r="G166" s="62">
        <f ca="1">IFERROR(__xludf.DUMMYFUNCTION("""COMPUTED_VALUE"""),48)</f>
        <v>48</v>
      </c>
      <c r="H166" s="63">
        <f ca="1">IFERROR(__xludf.DUMMYFUNCTION("""COMPUTED_VALUE"""),50)</f>
        <v>50</v>
      </c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2.75" x14ac:dyDescent="0.2">
      <c r="A167" s="61" t="str">
        <f ca="1">IFERROR(__xludf.DUMMYFUNCTION("""COMPUTED_VALUE"""),"Prunus virginiana 'Shubert Select'")</f>
        <v>Prunus virginiana 'Shubert Select'</v>
      </c>
      <c r="B167" s="61">
        <f ca="1">IFERROR(__xludf.DUMMYFUNCTION("""COMPUTED_VALUE"""),15)</f>
        <v>15</v>
      </c>
      <c r="C167" s="61" t="str">
        <f ca="1">IFERROR(__xludf.DUMMYFUNCTION("""COMPUTED_VALUE"""),"Canada Red Select Cherry")</f>
        <v>Canada Red Select Cherry</v>
      </c>
      <c r="D167" s="61" t="str">
        <f ca="1">IFERROR(__xludf.DUMMYFUNCTION("""COMPUTED_VALUE"""),"#15")</f>
        <v>#15</v>
      </c>
      <c r="E167" s="61" t="str">
        <f ca="1">IFERROR(__xludf.DUMMYFUNCTION("""COMPUTED_VALUE"""),"1.25-1.25""")</f>
        <v>1.25-1.25"</v>
      </c>
      <c r="F167" s="61" t="str">
        <f ca="1">IFERROR(__xludf.DUMMYFUNCTION("""COMPUTED_VALUE"""),"10-10.5'")</f>
        <v>10-10.5'</v>
      </c>
      <c r="G167" s="62">
        <f ca="1">IFERROR(__xludf.DUMMYFUNCTION("""COMPUTED_VALUE"""),4)</f>
        <v>4</v>
      </c>
      <c r="H167" s="63">
        <f ca="1">IFERROR(__xludf.DUMMYFUNCTION("""COMPUTED_VALUE"""),135)</f>
        <v>135</v>
      </c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2.75" x14ac:dyDescent="0.2">
      <c r="A168" s="61" t="str">
        <f ca="1">IFERROR(__xludf.DUMMYFUNCTION("""COMPUTED_VALUE"""),"Quercus alba")</f>
        <v>Quercus alba</v>
      </c>
      <c r="B168" s="61">
        <f ca="1">IFERROR(__xludf.DUMMYFUNCTION("""COMPUTED_VALUE"""),5)</f>
        <v>5</v>
      </c>
      <c r="C168" s="61" t="str">
        <f ca="1">IFERROR(__xludf.DUMMYFUNCTION("""COMPUTED_VALUE"""),"White Oak")</f>
        <v>White Oak</v>
      </c>
      <c r="D168" s="61" t="str">
        <f ca="1">IFERROR(__xludf.DUMMYFUNCTION("""COMPUTED_VALUE"""),"#5")</f>
        <v>#5</v>
      </c>
      <c r="E168" s="61" t="str">
        <f ca="1">IFERROR(__xludf.DUMMYFUNCTION("""COMPUTED_VALUE"""),"0.5-0.75""")</f>
        <v>0.5-0.75"</v>
      </c>
      <c r="F168" s="61" t="str">
        <f ca="1">IFERROR(__xludf.DUMMYFUNCTION("""COMPUTED_VALUE"""),"3-6'")</f>
        <v>3-6'</v>
      </c>
      <c r="G168" s="62">
        <f ca="1">IFERROR(__xludf.DUMMYFUNCTION("""COMPUTED_VALUE"""),68)</f>
        <v>68</v>
      </c>
      <c r="H168" s="63">
        <f ca="1">IFERROR(__xludf.DUMMYFUNCTION("""COMPUTED_VALUE"""),50)</f>
        <v>50</v>
      </c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2.75" x14ac:dyDescent="0.2">
      <c r="A169" s="61" t="str">
        <f ca="1">IFERROR(__xludf.DUMMYFUNCTION("""COMPUTED_VALUE"""),"Quercus alba")</f>
        <v>Quercus alba</v>
      </c>
      <c r="B169" s="61">
        <f ca="1">IFERROR(__xludf.DUMMYFUNCTION("""COMPUTED_VALUE"""),7)</f>
        <v>7</v>
      </c>
      <c r="C169" s="61" t="str">
        <f ca="1">IFERROR(__xludf.DUMMYFUNCTION("""COMPUTED_VALUE"""),"White Oak")</f>
        <v>White Oak</v>
      </c>
      <c r="D169" s="61" t="str">
        <f ca="1">IFERROR(__xludf.DUMMYFUNCTION("""COMPUTED_VALUE"""),"#7")</f>
        <v>#7</v>
      </c>
      <c r="E169" s="61" t="str">
        <f ca="1">IFERROR(__xludf.DUMMYFUNCTION("""COMPUTED_VALUE"""),"0.5-1""")</f>
        <v>0.5-1"</v>
      </c>
      <c r="F169" s="61" t="str">
        <f ca="1">IFERROR(__xludf.DUMMYFUNCTION("""COMPUTED_VALUE"""),"4-10'")</f>
        <v>4-10'</v>
      </c>
      <c r="G169" s="62">
        <f ca="1">IFERROR(__xludf.DUMMYFUNCTION("""COMPUTED_VALUE"""),1)</f>
        <v>1</v>
      </c>
      <c r="H169" s="63">
        <f ca="1">IFERROR(__xludf.DUMMYFUNCTION("""COMPUTED_VALUE"""),70)</f>
        <v>70</v>
      </c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2.75" x14ac:dyDescent="0.2">
      <c r="A170" s="61" t="str">
        <f ca="1">IFERROR(__xludf.DUMMYFUNCTION("""COMPUTED_VALUE"""),"Quercus alba")</f>
        <v>Quercus alba</v>
      </c>
      <c r="B170" s="61">
        <f ca="1">IFERROR(__xludf.DUMMYFUNCTION("""COMPUTED_VALUE"""),10)</f>
        <v>10</v>
      </c>
      <c r="C170" s="61" t="str">
        <f ca="1">IFERROR(__xludf.DUMMYFUNCTION("""COMPUTED_VALUE"""),"White Oak")</f>
        <v>White Oak</v>
      </c>
      <c r="D170" s="61" t="str">
        <f ca="1">IFERROR(__xludf.DUMMYFUNCTION("""COMPUTED_VALUE"""),"#10")</f>
        <v>#10</v>
      </c>
      <c r="E170" s="61" t="str">
        <f ca="1">IFERROR(__xludf.DUMMYFUNCTION("""COMPUTED_VALUE"""),"0.5-1.25""")</f>
        <v>0.5-1.25"</v>
      </c>
      <c r="F170" s="61" t="str">
        <f ca="1">IFERROR(__xludf.DUMMYFUNCTION("""COMPUTED_VALUE"""),"6-9'")</f>
        <v>6-9'</v>
      </c>
      <c r="G170" s="62">
        <f ca="1">IFERROR(__xludf.DUMMYFUNCTION("""COMPUTED_VALUE"""),30)</f>
        <v>30</v>
      </c>
      <c r="H170" s="63">
        <f ca="1">IFERROR(__xludf.DUMMYFUNCTION("""COMPUTED_VALUE"""),100)</f>
        <v>100</v>
      </c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2.75" x14ac:dyDescent="0.2">
      <c r="A171" s="61" t="str">
        <f ca="1">IFERROR(__xludf.DUMMYFUNCTION("""COMPUTED_VALUE"""),"Quercus alba")</f>
        <v>Quercus alba</v>
      </c>
      <c r="B171" s="61">
        <f ca="1">IFERROR(__xludf.DUMMYFUNCTION("""COMPUTED_VALUE"""),15)</f>
        <v>15</v>
      </c>
      <c r="C171" s="61" t="str">
        <f ca="1">IFERROR(__xludf.DUMMYFUNCTION("""COMPUTED_VALUE"""),"White Oak")</f>
        <v>White Oak</v>
      </c>
      <c r="D171" s="61" t="str">
        <f ca="1">IFERROR(__xludf.DUMMYFUNCTION("""COMPUTED_VALUE"""),"#15")</f>
        <v>#15</v>
      </c>
      <c r="E171" s="61" t="str">
        <f ca="1">IFERROR(__xludf.DUMMYFUNCTION("""COMPUTED_VALUE"""),"1.25-1.75""")</f>
        <v>1.25-1.75"</v>
      </c>
      <c r="F171" s="61" t="str">
        <f ca="1">IFERROR(__xludf.DUMMYFUNCTION("""COMPUTED_VALUE"""),"8.5-10'")</f>
        <v>8.5-10'</v>
      </c>
      <c r="G171" s="62">
        <f ca="1">IFERROR(__xludf.DUMMYFUNCTION("""COMPUTED_VALUE"""),3)</f>
        <v>3</v>
      </c>
      <c r="H171" s="63">
        <f ca="1">IFERROR(__xludf.DUMMYFUNCTION("""COMPUTED_VALUE"""),135)</f>
        <v>135</v>
      </c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2.75" x14ac:dyDescent="0.2">
      <c r="A172" s="61" t="str">
        <f ca="1">IFERROR(__xludf.DUMMYFUNCTION("""COMPUTED_VALUE"""),"Quercus bicolor")</f>
        <v>Quercus bicolor</v>
      </c>
      <c r="B172" s="61">
        <f ca="1">IFERROR(__xludf.DUMMYFUNCTION("""COMPUTED_VALUE"""),5)</f>
        <v>5</v>
      </c>
      <c r="C172" s="61" t="str">
        <f ca="1">IFERROR(__xludf.DUMMYFUNCTION("""COMPUTED_VALUE"""),"Swamp White Oak")</f>
        <v>Swamp White Oak</v>
      </c>
      <c r="D172" s="61" t="str">
        <f ca="1">IFERROR(__xludf.DUMMYFUNCTION("""COMPUTED_VALUE"""),"#5")</f>
        <v>#5</v>
      </c>
      <c r="E172" s="61" t="str">
        <f ca="1">IFERROR(__xludf.DUMMYFUNCTION("""COMPUTED_VALUE"""),"0.5-1""")</f>
        <v>0.5-1"</v>
      </c>
      <c r="F172" s="61" t="str">
        <f ca="1">IFERROR(__xludf.DUMMYFUNCTION("""COMPUTED_VALUE"""),"3-9'")</f>
        <v>3-9'</v>
      </c>
      <c r="G172" s="62">
        <f ca="1">IFERROR(__xludf.DUMMYFUNCTION("""COMPUTED_VALUE"""),311)</f>
        <v>311</v>
      </c>
      <c r="H172" s="63">
        <f ca="1">IFERROR(__xludf.DUMMYFUNCTION("""COMPUTED_VALUE"""),50)</f>
        <v>50</v>
      </c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2.75" x14ac:dyDescent="0.2">
      <c r="A173" s="61" t="str">
        <f ca="1">IFERROR(__xludf.DUMMYFUNCTION("""COMPUTED_VALUE"""),"Quercus bicolor")</f>
        <v>Quercus bicolor</v>
      </c>
      <c r="B173" s="61">
        <f ca="1">IFERROR(__xludf.DUMMYFUNCTION("""COMPUTED_VALUE"""),7)</f>
        <v>7</v>
      </c>
      <c r="C173" s="61" t="str">
        <f ca="1">IFERROR(__xludf.DUMMYFUNCTION("""COMPUTED_VALUE"""),"Swamp White Oak")</f>
        <v>Swamp White Oak</v>
      </c>
      <c r="D173" s="61" t="str">
        <f ca="1">IFERROR(__xludf.DUMMYFUNCTION("""COMPUTED_VALUE"""),"#7")</f>
        <v>#7</v>
      </c>
      <c r="E173" s="61" t="str">
        <f ca="1">IFERROR(__xludf.DUMMYFUNCTION("""COMPUTED_VALUE"""),"0.5-0.75""")</f>
        <v>0.5-0.75"</v>
      </c>
      <c r="F173" s="61" t="str">
        <f ca="1">IFERROR(__xludf.DUMMYFUNCTION("""COMPUTED_VALUE"""),"3-7'")</f>
        <v>3-7'</v>
      </c>
      <c r="G173" s="62">
        <f ca="1">IFERROR(__xludf.DUMMYFUNCTION("""COMPUTED_VALUE"""),50)</f>
        <v>50</v>
      </c>
      <c r="H173" s="63">
        <f ca="1">IFERROR(__xludf.DUMMYFUNCTION("""COMPUTED_VALUE"""),70)</f>
        <v>70</v>
      </c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2.75" x14ac:dyDescent="0.2">
      <c r="A174" s="61" t="str">
        <f ca="1">IFERROR(__xludf.DUMMYFUNCTION("""COMPUTED_VALUE"""),"Quercus bicolor")</f>
        <v>Quercus bicolor</v>
      </c>
      <c r="B174" s="61">
        <f ca="1">IFERROR(__xludf.DUMMYFUNCTION("""COMPUTED_VALUE"""),10)</f>
        <v>10</v>
      </c>
      <c r="C174" s="61" t="str">
        <f ca="1">IFERROR(__xludf.DUMMYFUNCTION("""COMPUTED_VALUE"""),"Swamp White Oak")</f>
        <v>Swamp White Oak</v>
      </c>
      <c r="D174" s="61" t="str">
        <f ca="1">IFERROR(__xludf.DUMMYFUNCTION("""COMPUTED_VALUE"""),"#10")</f>
        <v>#10</v>
      </c>
      <c r="E174" s="61" t="str">
        <f ca="1">IFERROR(__xludf.DUMMYFUNCTION("""COMPUTED_VALUE"""),"0.75-1.25""")</f>
        <v>0.75-1.25"</v>
      </c>
      <c r="F174" s="61" t="str">
        <f ca="1">IFERROR(__xludf.DUMMYFUNCTION("""COMPUTED_VALUE"""),"4.5-10'")</f>
        <v>4.5-10'</v>
      </c>
      <c r="G174" s="62">
        <f ca="1">IFERROR(__xludf.DUMMYFUNCTION("""COMPUTED_VALUE"""),100)</f>
        <v>100</v>
      </c>
      <c r="H174" s="63">
        <f ca="1">IFERROR(__xludf.DUMMYFUNCTION("""COMPUTED_VALUE"""),100)</f>
        <v>100</v>
      </c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2.75" x14ac:dyDescent="0.2">
      <c r="A175" s="61" t="str">
        <f ca="1">IFERROR(__xludf.DUMMYFUNCTION("""COMPUTED_VALUE"""),"Quercus bicolor")</f>
        <v>Quercus bicolor</v>
      </c>
      <c r="B175" s="61">
        <f ca="1">IFERROR(__xludf.DUMMYFUNCTION("""COMPUTED_VALUE"""),15)</f>
        <v>15</v>
      </c>
      <c r="C175" s="61" t="str">
        <f ca="1">IFERROR(__xludf.DUMMYFUNCTION("""COMPUTED_VALUE"""),"Swamp White Oak")</f>
        <v>Swamp White Oak</v>
      </c>
      <c r="D175" s="61" t="str">
        <f ca="1">IFERROR(__xludf.DUMMYFUNCTION("""COMPUTED_VALUE"""),"#15")</f>
        <v>#15</v>
      </c>
      <c r="E175" s="61" t="str">
        <f ca="1">IFERROR(__xludf.DUMMYFUNCTION("""COMPUTED_VALUE"""),"1-1.75""")</f>
        <v>1-1.75"</v>
      </c>
      <c r="F175" s="61" t="str">
        <f ca="1">IFERROR(__xludf.DUMMYFUNCTION("""COMPUTED_VALUE"""),"10-12'")</f>
        <v>10-12'</v>
      </c>
      <c r="G175" s="62">
        <f ca="1">IFERROR(__xludf.DUMMYFUNCTION("""COMPUTED_VALUE"""),4)</f>
        <v>4</v>
      </c>
      <c r="H175" s="63">
        <f ca="1">IFERROR(__xludf.DUMMYFUNCTION("""COMPUTED_VALUE"""),135)</f>
        <v>135</v>
      </c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2.75" x14ac:dyDescent="0.2">
      <c r="A176" s="61" t="str">
        <f ca="1">IFERROR(__xludf.DUMMYFUNCTION("""COMPUTED_VALUE"""),"Quercus hemisphaerica")</f>
        <v>Quercus hemisphaerica</v>
      </c>
      <c r="B176" s="61">
        <f ca="1">IFERROR(__xludf.DUMMYFUNCTION("""COMPUTED_VALUE"""),5)</f>
        <v>5</v>
      </c>
      <c r="C176" s="61" t="str">
        <f ca="1">IFERROR(__xludf.DUMMYFUNCTION("""COMPUTED_VALUE"""),"Laurel Oak")</f>
        <v>Laurel Oak</v>
      </c>
      <c r="D176" s="61" t="str">
        <f ca="1">IFERROR(__xludf.DUMMYFUNCTION("""COMPUTED_VALUE"""),"#5")</f>
        <v>#5</v>
      </c>
      <c r="E176" s="61" t="str">
        <f ca="1">IFERROR(__xludf.DUMMYFUNCTION("""COMPUTED_VALUE"""),"0.5-1""")</f>
        <v>0.5-1"</v>
      </c>
      <c r="F176" s="61" t="str">
        <f ca="1">IFERROR(__xludf.DUMMYFUNCTION("""COMPUTED_VALUE"""),"4-7'")</f>
        <v>4-7'</v>
      </c>
      <c r="G176" s="62">
        <f ca="1">IFERROR(__xludf.DUMMYFUNCTION("""COMPUTED_VALUE"""),3)</f>
        <v>3</v>
      </c>
      <c r="H176" s="63">
        <f ca="1">IFERROR(__xludf.DUMMYFUNCTION("""COMPUTED_VALUE"""),50)</f>
        <v>50</v>
      </c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2.75" x14ac:dyDescent="0.2">
      <c r="A177" s="61" t="str">
        <f ca="1">IFERROR(__xludf.DUMMYFUNCTION("""COMPUTED_VALUE"""),"Quercus imbricaria")</f>
        <v>Quercus imbricaria</v>
      </c>
      <c r="B177" s="61">
        <f ca="1">IFERROR(__xludf.DUMMYFUNCTION("""COMPUTED_VALUE"""),5)</f>
        <v>5</v>
      </c>
      <c r="C177" s="61" t="str">
        <f ca="1">IFERROR(__xludf.DUMMYFUNCTION("""COMPUTED_VALUE"""),"Shingle Oak")</f>
        <v>Shingle Oak</v>
      </c>
      <c r="D177" s="61" t="str">
        <f ca="1">IFERROR(__xludf.DUMMYFUNCTION("""COMPUTED_VALUE"""),"#5")</f>
        <v>#5</v>
      </c>
      <c r="E177" s="61" t="str">
        <f ca="1">IFERROR(__xludf.DUMMYFUNCTION("""COMPUTED_VALUE"""),"0.25-1""")</f>
        <v>0.25-1"</v>
      </c>
      <c r="F177" s="61" t="str">
        <f ca="1">IFERROR(__xludf.DUMMYFUNCTION("""COMPUTED_VALUE"""),"2-8'")</f>
        <v>2-8'</v>
      </c>
      <c r="G177" s="62">
        <f ca="1">IFERROR(__xludf.DUMMYFUNCTION("""COMPUTED_VALUE"""),28)</f>
        <v>28</v>
      </c>
      <c r="H177" s="63">
        <f ca="1">IFERROR(__xludf.DUMMYFUNCTION("""COMPUTED_VALUE"""),50)</f>
        <v>50</v>
      </c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2.75" x14ac:dyDescent="0.2">
      <c r="A178" s="61" t="str">
        <f ca="1">IFERROR(__xludf.DUMMYFUNCTION("""COMPUTED_VALUE"""),"Quercus lyrata")</f>
        <v>Quercus lyrata</v>
      </c>
      <c r="B178" s="61">
        <f ca="1">IFERROR(__xludf.DUMMYFUNCTION("""COMPUTED_VALUE"""),5)</f>
        <v>5</v>
      </c>
      <c r="C178" s="61" t="str">
        <f ca="1">IFERROR(__xludf.DUMMYFUNCTION("""COMPUTED_VALUE"""),"Overcup Oak")</f>
        <v>Overcup Oak</v>
      </c>
      <c r="D178" s="61" t="str">
        <f ca="1">IFERROR(__xludf.DUMMYFUNCTION("""COMPUTED_VALUE"""),"#5")</f>
        <v>#5</v>
      </c>
      <c r="E178" s="61" t="str">
        <f ca="1">IFERROR(__xludf.DUMMYFUNCTION("""COMPUTED_VALUE"""),"0.25-1""")</f>
        <v>0.25-1"</v>
      </c>
      <c r="F178" s="61" t="str">
        <f ca="1">IFERROR(__xludf.DUMMYFUNCTION("""COMPUTED_VALUE"""),"3-8'")</f>
        <v>3-8'</v>
      </c>
      <c r="G178" s="62">
        <f ca="1">IFERROR(__xludf.DUMMYFUNCTION("""COMPUTED_VALUE"""),10)</f>
        <v>10</v>
      </c>
      <c r="H178" s="63">
        <f ca="1">IFERROR(__xludf.DUMMYFUNCTION("""COMPUTED_VALUE"""),50)</f>
        <v>50</v>
      </c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2.75" x14ac:dyDescent="0.2">
      <c r="A179" s="61" t="str">
        <f ca="1">IFERROR(__xludf.DUMMYFUNCTION("""COMPUTED_VALUE"""),"Quercus macrocarpa")</f>
        <v>Quercus macrocarpa</v>
      </c>
      <c r="B179" s="61">
        <f ca="1">IFERROR(__xludf.DUMMYFUNCTION("""COMPUTED_VALUE"""),5)</f>
        <v>5</v>
      </c>
      <c r="C179" s="61" t="str">
        <f ca="1">IFERROR(__xludf.DUMMYFUNCTION("""COMPUTED_VALUE"""),"Bur Oak")</f>
        <v>Bur Oak</v>
      </c>
      <c r="D179" s="61" t="str">
        <f ca="1">IFERROR(__xludf.DUMMYFUNCTION("""COMPUTED_VALUE"""),"#5")</f>
        <v>#5</v>
      </c>
      <c r="E179" s="61" t="str">
        <f ca="1">IFERROR(__xludf.DUMMYFUNCTION("""COMPUTED_VALUE"""),"0.75-1""")</f>
        <v>0.75-1"</v>
      </c>
      <c r="F179" s="61" t="str">
        <f ca="1">IFERROR(__xludf.DUMMYFUNCTION("""COMPUTED_VALUE"""),"4-7'")</f>
        <v>4-7'</v>
      </c>
      <c r="G179" s="62">
        <f ca="1">IFERROR(__xludf.DUMMYFUNCTION("""COMPUTED_VALUE"""),27)</f>
        <v>27</v>
      </c>
      <c r="H179" s="63">
        <f ca="1">IFERROR(__xludf.DUMMYFUNCTION("""COMPUTED_VALUE"""),50)</f>
        <v>50</v>
      </c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2.75" x14ac:dyDescent="0.2">
      <c r="A180" s="61" t="str">
        <f ca="1">IFERROR(__xludf.DUMMYFUNCTION("""COMPUTED_VALUE"""),"Quercus macrocarpa")</f>
        <v>Quercus macrocarpa</v>
      </c>
      <c r="B180" s="61">
        <f ca="1">IFERROR(__xludf.DUMMYFUNCTION("""COMPUTED_VALUE"""),10)</f>
        <v>10</v>
      </c>
      <c r="C180" s="61" t="str">
        <f ca="1">IFERROR(__xludf.DUMMYFUNCTION("""COMPUTED_VALUE"""),"Bur Oak")</f>
        <v>Bur Oak</v>
      </c>
      <c r="D180" s="61" t="str">
        <f ca="1">IFERROR(__xludf.DUMMYFUNCTION("""COMPUTED_VALUE"""),"#10")</f>
        <v>#10</v>
      </c>
      <c r="E180" s="61" t="str">
        <f ca="1">IFERROR(__xludf.DUMMYFUNCTION("""COMPUTED_VALUE"""),"1-1""")</f>
        <v>1-1"</v>
      </c>
      <c r="F180" s="61" t="str">
        <f ca="1">IFERROR(__xludf.DUMMYFUNCTION("""COMPUTED_VALUE"""),"6-8'")</f>
        <v>6-8'</v>
      </c>
      <c r="G180" s="62">
        <f ca="1">IFERROR(__xludf.DUMMYFUNCTION("""COMPUTED_VALUE"""),1)</f>
        <v>1</v>
      </c>
      <c r="H180" s="63">
        <f ca="1">IFERROR(__xludf.DUMMYFUNCTION("""COMPUTED_VALUE"""),100)</f>
        <v>100</v>
      </c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2.75" x14ac:dyDescent="0.2">
      <c r="A181" s="61" t="str">
        <f ca="1">IFERROR(__xludf.DUMMYFUNCTION("""COMPUTED_VALUE"""),"Quercus macrocarpa")</f>
        <v>Quercus macrocarpa</v>
      </c>
      <c r="B181" s="61">
        <f ca="1">IFERROR(__xludf.DUMMYFUNCTION("""COMPUTED_VALUE"""),15)</f>
        <v>15</v>
      </c>
      <c r="C181" s="61" t="str">
        <f ca="1">IFERROR(__xludf.DUMMYFUNCTION("""COMPUTED_VALUE"""),"Bur Oak")</f>
        <v>Bur Oak</v>
      </c>
      <c r="D181" s="61" t="str">
        <f ca="1">IFERROR(__xludf.DUMMYFUNCTION("""COMPUTED_VALUE"""),"#15")</f>
        <v>#15</v>
      </c>
      <c r="E181" s="61" t="str">
        <f ca="1">IFERROR(__xludf.DUMMYFUNCTION("""COMPUTED_VALUE"""),"1-1.25""")</f>
        <v>1-1.25"</v>
      </c>
      <c r="F181" s="61" t="str">
        <f ca="1">IFERROR(__xludf.DUMMYFUNCTION("""COMPUTED_VALUE"""),"10-12'")</f>
        <v>10-12'</v>
      </c>
      <c r="G181" s="62">
        <f ca="1">IFERROR(__xludf.DUMMYFUNCTION("""COMPUTED_VALUE"""),3)</f>
        <v>3</v>
      </c>
      <c r="H181" s="63">
        <f ca="1">IFERROR(__xludf.DUMMYFUNCTION("""COMPUTED_VALUE"""),135)</f>
        <v>135</v>
      </c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2.75" x14ac:dyDescent="0.2">
      <c r="A182" s="61" t="str">
        <f ca="1">IFERROR(__xludf.DUMMYFUNCTION("""COMPUTED_VALUE"""),"Quercus palustris")</f>
        <v>Quercus palustris</v>
      </c>
      <c r="B182" s="61">
        <f ca="1">IFERROR(__xludf.DUMMYFUNCTION("""COMPUTED_VALUE"""),5)</f>
        <v>5</v>
      </c>
      <c r="C182" s="61" t="str">
        <f ca="1">IFERROR(__xludf.DUMMYFUNCTION("""COMPUTED_VALUE"""),"Pin Oak")</f>
        <v>Pin Oak</v>
      </c>
      <c r="D182" s="61" t="str">
        <f ca="1">IFERROR(__xludf.DUMMYFUNCTION("""COMPUTED_VALUE"""),"#5")</f>
        <v>#5</v>
      </c>
      <c r="E182" s="61" t="str">
        <f ca="1">IFERROR(__xludf.DUMMYFUNCTION("""COMPUTED_VALUE"""),"0.5-1.25""")</f>
        <v>0.5-1.25"</v>
      </c>
      <c r="F182" s="61" t="str">
        <f ca="1">IFERROR(__xludf.DUMMYFUNCTION("""COMPUTED_VALUE"""),"4-12'")</f>
        <v>4-12'</v>
      </c>
      <c r="G182" s="62">
        <f ca="1">IFERROR(__xludf.DUMMYFUNCTION("""COMPUTED_VALUE"""),9)</f>
        <v>9</v>
      </c>
      <c r="H182" s="63">
        <f ca="1">IFERROR(__xludf.DUMMYFUNCTION("""COMPUTED_VALUE"""),50)</f>
        <v>50</v>
      </c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2.75" x14ac:dyDescent="0.2">
      <c r="A183" s="61" t="str">
        <f ca="1">IFERROR(__xludf.DUMMYFUNCTION("""COMPUTED_VALUE"""),"Quercus palustris")</f>
        <v>Quercus palustris</v>
      </c>
      <c r="B183" s="61">
        <f ca="1">IFERROR(__xludf.DUMMYFUNCTION("""COMPUTED_VALUE"""),7)</f>
        <v>7</v>
      </c>
      <c r="C183" s="61" t="str">
        <f ca="1">IFERROR(__xludf.DUMMYFUNCTION("""COMPUTED_VALUE"""),"Pin Oak")</f>
        <v>Pin Oak</v>
      </c>
      <c r="D183" s="61" t="str">
        <f ca="1">IFERROR(__xludf.DUMMYFUNCTION("""COMPUTED_VALUE"""),"#7")</f>
        <v>#7</v>
      </c>
      <c r="E183" s="61" t="str">
        <f ca="1">IFERROR(__xludf.DUMMYFUNCTION("""COMPUTED_VALUE"""),"1.25-1.5""")</f>
        <v>1.25-1.5"</v>
      </c>
      <c r="F183" s="61" t="str">
        <f ca="1">IFERROR(__xludf.DUMMYFUNCTION("""COMPUTED_VALUE"""),"9-12'")</f>
        <v>9-12'</v>
      </c>
      <c r="G183" s="62">
        <f ca="1">IFERROR(__xludf.DUMMYFUNCTION("""COMPUTED_VALUE"""),1)</f>
        <v>1</v>
      </c>
      <c r="H183" s="63">
        <f ca="1">IFERROR(__xludf.DUMMYFUNCTION("""COMPUTED_VALUE"""),70)</f>
        <v>70</v>
      </c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2.75" x14ac:dyDescent="0.2">
      <c r="A184" s="61" t="str">
        <f ca="1">IFERROR(__xludf.DUMMYFUNCTION("""COMPUTED_VALUE"""),"Quercus palustris")</f>
        <v>Quercus palustris</v>
      </c>
      <c r="B184" s="61">
        <f ca="1">IFERROR(__xludf.DUMMYFUNCTION("""COMPUTED_VALUE"""),10)</f>
        <v>10</v>
      </c>
      <c r="C184" s="61" t="str">
        <f ca="1">IFERROR(__xludf.DUMMYFUNCTION("""COMPUTED_VALUE"""),"Pin Oak")</f>
        <v>Pin Oak</v>
      </c>
      <c r="D184" s="61" t="str">
        <f ca="1">IFERROR(__xludf.DUMMYFUNCTION("""COMPUTED_VALUE"""),"#10")</f>
        <v>#10</v>
      </c>
      <c r="E184" s="61" t="str">
        <f ca="1">IFERROR(__xludf.DUMMYFUNCTION("""COMPUTED_VALUE"""),"1-2""")</f>
        <v>1-2"</v>
      </c>
      <c r="F184" s="61" t="str">
        <f ca="1">IFERROR(__xludf.DUMMYFUNCTION("""COMPUTED_VALUE"""),"7-10'")</f>
        <v>7-10'</v>
      </c>
      <c r="G184" s="62">
        <f ca="1">IFERROR(__xludf.DUMMYFUNCTION("""COMPUTED_VALUE"""),15)</f>
        <v>15</v>
      </c>
      <c r="H184" s="63">
        <f ca="1">IFERROR(__xludf.DUMMYFUNCTION("""COMPUTED_VALUE"""),100)</f>
        <v>100</v>
      </c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2.75" x14ac:dyDescent="0.2">
      <c r="A185" s="61" t="str">
        <f ca="1">IFERROR(__xludf.DUMMYFUNCTION("""COMPUTED_VALUE"""),"Quercus palustris")</f>
        <v>Quercus palustris</v>
      </c>
      <c r="B185" s="61">
        <f ca="1">IFERROR(__xludf.DUMMYFUNCTION("""COMPUTED_VALUE"""),15)</f>
        <v>15</v>
      </c>
      <c r="C185" s="61" t="str">
        <f ca="1">IFERROR(__xludf.DUMMYFUNCTION("""COMPUTED_VALUE"""),"Pin Oak")</f>
        <v>Pin Oak</v>
      </c>
      <c r="D185" s="61" t="str">
        <f ca="1">IFERROR(__xludf.DUMMYFUNCTION("""COMPUTED_VALUE"""),"#15")</f>
        <v>#15</v>
      </c>
      <c r="E185" s="61" t="str">
        <f ca="1">IFERROR(__xludf.DUMMYFUNCTION("""COMPUTED_VALUE"""),"1.5-1.75""")</f>
        <v>1.5-1.75"</v>
      </c>
      <c r="F185" s="61" t="str">
        <f ca="1">IFERROR(__xludf.DUMMYFUNCTION("""COMPUTED_VALUE"""),"11-15'")</f>
        <v>11-15'</v>
      </c>
      <c r="G185" s="62">
        <f ca="1">IFERROR(__xludf.DUMMYFUNCTION("""COMPUTED_VALUE"""),1)</f>
        <v>1</v>
      </c>
      <c r="H185" s="63">
        <f ca="1">IFERROR(__xludf.DUMMYFUNCTION("""COMPUTED_VALUE"""),135)</f>
        <v>135</v>
      </c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2.75" x14ac:dyDescent="0.2">
      <c r="A186" s="61" t="str">
        <f ca="1">IFERROR(__xludf.DUMMYFUNCTION("""COMPUTED_VALUE"""),"Quercus phellos")</f>
        <v>Quercus phellos</v>
      </c>
      <c r="B186" s="61">
        <f ca="1">IFERROR(__xludf.DUMMYFUNCTION("""COMPUTED_VALUE"""),7)</f>
        <v>7</v>
      </c>
      <c r="C186" s="61" t="str">
        <f ca="1">IFERROR(__xludf.DUMMYFUNCTION("""COMPUTED_VALUE"""),"Willow Oak")</f>
        <v>Willow Oak</v>
      </c>
      <c r="D186" s="61" t="str">
        <f ca="1">IFERROR(__xludf.DUMMYFUNCTION("""COMPUTED_VALUE"""),"#7")</f>
        <v>#7</v>
      </c>
      <c r="E186" s="61" t="str">
        <f ca="1">IFERROR(__xludf.DUMMYFUNCTION("""COMPUTED_VALUE"""),"0.75-1.25""")</f>
        <v>0.75-1.25"</v>
      </c>
      <c r="F186" s="61" t="str">
        <f ca="1">IFERROR(__xludf.DUMMYFUNCTION("""COMPUTED_VALUE"""),"4-8'")</f>
        <v>4-8'</v>
      </c>
      <c r="G186" s="62">
        <f ca="1">IFERROR(__xludf.DUMMYFUNCTION("""COMPUTED_VALUE"""),1)</f>
        <v>1</v>
      </c>
      <c r="H186" s="63">
        <f ca="1">IFERROR(__xludf.DUMMYFUNCTION("""COMPUTED_VALUE"""),70)</f>
        <v>70</v>
      </c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2.75" x14ac:dyDescent="0.2">
      <c r="A187" s="61" t="str">
        <f ca="1">IFERROR(__xludf.DUMMYFUNCTION("""COMPUTED_VALUE"""),"Quercus phellos")</f>
        <v>Quercus phellos</v>
      </c>
      <c r="B187" s="61">
        <f ca="1">IFERROR(__xludf.DUMMYFUNCTION("""COMPUTED_VALUE"""),10)</f>
        <v>10</v>
      </c>
      <c r="C187" s="61" t="str">
        <f ca="1">IFERROR(__xludf.DUMMYFUNCTION("""COMPUTED_VALUE"""),"Willow Oak")</f>
        <v>Willow Oak</v>
      </c>
      <c r="D187" s="61" t="str">
        <f ca="1">IFERROR(__xludf.DUMMYFUNCTION("""COMPUTED_VALUE"""),"#10")</f>
        <v>#10</v>
      </c>
      <c r="E187" s="61" t="str">
        <f ca="1">IFERROR(__xludf.DUMMYFUNCTION("""COMPUTED_VALUE"""),"0.5-0.75""")</f>
        <v>0.5-0.75"</v>
      </c>
      <c r="F187" s="61" t="str">
        <f ca="1">IFERROR(__xludf.DUMMYFUNCTION("""COMPUTED_VALUE"""),"4-5'")</f>
        <v>4-5'</v>
      </c>
      <c r="G187" s="62">
        <f ca="1">IFERROR(__xludf.DUMMYFUNCTION("""COMPUTED_VALUE"""),26)</f>
        <v>26</v>
      </c>
      <c r="H187" s="63">
        <f ca="1">IFERROR(__xludf.DUMMYFUNCTION("""COMPUTED_VALUE"""),100)</f>
        <v>100</v>
      </c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2.75" x14ac:dyDescent="0.2">
      <c r="A188" s="61" t="str">
        <f ca="1">IFERROR(__xludf.DUMMYFUNCTION("""COMPUTED_VALUE"""),"Quercus rubra")</f>
        <v>Quercus rubra</v>
      </c>
      <c r="B188" s="61">
        <f ca="1">IFERROR(__xludf.DUMMYFUNCTION("""COMPUTED_VALUE"""),7)</f>
        <v>7</v>
      </c>
      <c r="C188" s="61" t="str">
        <f ca="1">IFERROR(__xludf.DUMMYFUNCTION("""COMPUTED_VALUE"""),"Red Oak")</f>
        <v>Red Oak</v>
      </c>
      <c r="D188" s="61" t="str">
        <f ca="1">IFERROR(__xludf.DUMMYFUNCTION("""COMPUTED_VALUE"""),"#7")</f>
        <v>#7</v>
      </c>
      <c r="E188" s="61" t="str">
        <f ca="1">IFERROR(__xludf.DUMMYFUNCTION("""COMPUTED_VALUE"""),"0.75-1.5""")</f>
        <v>0.75-1.5"</v>
      </c>
      <c r="F188" s="61" t="str">
        <f ca="1">IFERROR(__xludf.DUMMYFUNCTION("""COMPUTED_VALUE"""),"3.5-11'")</f>
        <v>3.5-11'</v>
      </c>
      <c r="G188" s="62">
        <f ca="1">IFERROR(__xludf.DUMMYFUNCTION("""COMPUTED_VALUE"""),10)</f>
        <v>10</v>
      </c>
      <c r="H188" s="63">
        <f ca="1">IFERROR(__xludf.DUMMYFUNCTION("""COMPUTED_VALUE"""),70)</f>
        <v>70</v>
      </c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2.75" x14ac:dyDescent="0.2">
      <c r="A189" s="61" t="str">
        <f ca="1">IFERROR(__xludf.DUMMYFUNCTION("""COMPUTED_VALUE"""),"Quercus rubra")</f>
        <v>Quercus rubra</v>
      </c>
      <c r="B189" s="61">
        <f ca="1">IFERROR(__xludf.DUMMYFUNCTION("""COMPUTED_VALUE"""),10)</f>
        <v>10</v>
      </c>
      <c r="C189" s="61" t="str">
        <f ca="1">IFERROR(__xludf.DUMMYFUNCTION("""COMPUTED_VALUE"""),"Red Oak")</f>
        <v>Red Oak</v>
      </c>
      <c r="D189" s="61" t="str">
        <f ca="1">IFERROR(__xludf.DUMMYFUNCTION("""COMPUTED_VALUE"""),"#10")</f>
        <v>#10</v>
      </c>
      <c r="E189" s="61" t="str">
        <f ca="1">IFERROR(__xludf.DUMMYFUNCTION("""COMPUTED_VALUE"""),"0.75-1.25""")</f>
        <v>0.75-1.25"</v>
      </c>
      <c r="F189" s="61" t="str">
        <f ca="1">IFERROR(__xludf.DUMMYFUNCTION("""COMPUTED_VALUE"""),"6-9'")</f>
        <v>6-9'</v>
      </c>
      <c r="G189" s="62">
        <f ca="1">IFERROR(__xludf.DUMMYFUNCTION("""COMPUTED_VALUE"""),19)</f>
        <v>19</v>
      </c>
      <c r="H189" s="63">
        <f ca="1">IFERROR(__xludf.DUMMYFUNCTION("""COMPUTED_VALUE"""),100)</f>
        <v>100</v>
      </c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2.75" x14ac:dyDescent="0.2">
      <c r="A190" s="61" t="str">
        <f ca="1">IFERROR(__xludf.DUMMYFUNCTION("""COMPUTED_VALUE"""),"Quercus rubra")</f>
        <v>Quercus rubra</v>
      </c>
      <c r="B190" s="61">
        <f ca="1">IFERROR(__xludf.DUMMYFUNCTION("""COMPUTED_VALUE"""),15)</f>
        <v>15</v>
      </c>
      <c r="C190" s="61" t="str">
        <f ca="1">IFERROR(__xludf.DUMMYFUNCTION("""COMPUTED_VALUE"""),"Red Oak")</f>
        <v>Red Oak</v>
      </c>
      <c r="D190" s="61" t="str">
        <f ca="1">IFERROR(__xludf.DUMMYFUNCTION("""COMPUTED_VALUE"""),"#15")</f>
        <v>#15</v>
      </c>
      <c r="E190" s="61" t="str">
        <f ca="1">IFERROR(__xludf.DUMMYFUNCTION("""COMPUTED_VALUE"""),"1-2.25""")</f>
        <v>1-2.25"</v>
      </c>
      <c r="F190" s="61" t="str">
        <f ca="1">IFERROR(__xludf.DUMMYFUNCTION("""COMPUTED_VALUE"""),"9-14'")</f>
        <v>9-14'</v>
      </c>
      <c r="G190" s="62">
        <f ca="1">IFERROR(__xludf.DUMMYFUNCTION("""COMPUTED_VALUE"""),10)</f>
        <v>10</v>
      </c>
      <c r="H190" s="63">
        <f ca="1">IFERROR(__xludf.DUMMYFUNCTION("""COMPUTED_VALUE"""),135)</f>
        <v>135</v>
      </c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2.75" x14ac:dyDescent="0.2">
      <c r="A191" s="61" t="str">
        <f ca="1">IFERROR(__xludf.DUMMYFUNCTION("""COMPUTED_VALUE"""),"Quercus stellata")</f>
        <v>Quercus stellata</v>
      </c>
      <c r="B191" s="61">
        <f ca="1">IFERROR(__xludf.DUMMYFUNCTION("""COMPUTED_VALUE"""),5)</f>
        <v>5</v>
      </c>
      <c r="C191" s="61" t="str">
        <f ca="1">IFERROR(__xludf.DUMMYFUNCTION("""COMPUTED_VALUE"""),"Post Oak")</f>
        <v>Post Oak</v>
      </c>
      <c r="D191" s="61" t="str">
        <f ca="1">IFERROR(__xludf.DUMMYFUNCTION("""COMPUTED_VALUE"""),"#5")</f>
        <v>#5</v>
      </c>
      <c r="E191" s="61" t="str">
        <f ca="1">IFERROR(__xludf.DUMMYFUNCTION("""COMPUTED_VALUE"""),"0.25-0.75""")</f>
        <v>0.25-0.75"</v>
      </c>
      <c r="F191" s="61" t="str">
        <f ca="1">IFERROR(__xludf.DUMMYFUNCTION("""COMPUTED_VALUE"""),"1.5-7'")</f>
        <v>1.5-7'</v>
      </c>
      <c r="G191" s="62">
        <f ca="1">IFERROR(__xludf.DUMMYFUNCTION("""COMPUTED_VALUE"""),3)</f>
        <v>3</v>
      </c>
      <c r="H191" s="63">
        <f ca="1">IFERROR(__xludf.DUMMYFUNCTION("""COMPUTED_VALUE"""),55)</f>
        <v>55</v>
      </c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2.75" x14ac:dyDescent="0.2">
      <c r="A192" s="61" t="str">
        <f ca="1">IFERROR(__xludf.DUMMYFUNCTION("""COMPUTED_VALUE"""),"Quercus x warei 'Regal Prince'")</f>
        <v>Quercus x warei 'Regal Prince'</v>
      </c>
      <c r="B192" s="61">
        <f ca="1">IFERROR(__xludf.DUMMYFUNCTION("""COMPUTED_VALUE"""),15)</f>
        <v>15</v>
      </c>
      <c r="C192" s="61" t="str">
        <f ca="1">IFERROR(__xludf.DUMMYFUNCTION("""COMPUTED_VALUE"""),"Regal Prince Oak")</f>
        <v>Regal Prince Oak</v>
      </c>
      <c r="D192" s="61" t="str">
        <f ca="1">IFERROR(__xludf.DUMMYFUNCTION("""COMPUTED_VALUE"""),"#15")</f>
        <v>#15</v>
      </c>
      <c r="E192" s="61" t="str">
        <f ca="1">IFERROR(__xludf.DUMMYFUNCTION("""COMPUTED_VALUE"""),"1-1.75""")</f>
        <v>1-1.75"</v>
      </c>
      <c r="F192" s="61" t="str">
        <f ca="1">IFERROR(__xludf.DUMMYFUNCTION("""COMPUTED_VALUE"""),"8-14'")</f>
        <v>8-14'</v>
      </c>
      <c r="G192" s="62">
        <f ca="1">IFERROR(__xludf.DUMMYFUNCTION("""COMPUTED_VALUE"""),20)</f>
        <v>20</v>
      </c>
      <c r="H192" s="63">
        <f ca="1">IFERROR(__xludf.DUMMYFUNCTION("""COMPUTED_VALUE"""),135)</f>
        <v>135</v>
      </c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2.75" x14ac:dyDescent="0.2">
      <c r="A193" s="61" t="str">
        <f ca="1">IFERROR(__xludf.DUMMYFUNCTION("""COMPUTED_VALUE"""),"Quercus x warei 'Regal Prince'")</f>
        <v>Quercus x warei 'Regal Prince'</v>
      </c>
      <c r="B193" s="61">
        <f ca="1">IFERROR(__xludf.DUMMYFUNCTION("""COMPUTED_VALUE"""),25)</f>
        <v>25</v>
      </c>
      <c r="C193" s="61" t="str">
        <f ca="1">IFERROR(__xludf.DUMMYFUNCTION("""COMPUTED_VALUE"""),"Regal Prince Oak")</f>
        <v>Regal Prince Oak</v>
      </c>
      <c r="D193" s="61" t="str">
        <f ca="1">IFERROR(__xludf.DUMMYFUNCTION("""COMPUTED_VALUE"""),"#25")</f>
        <v>#25</v>
      </c>
      <c r="E193" s="61" t="str">
        <f ca="1">IFERROR(__xludf.DUMMYFUNCTION("""COMPUTED_VALUE"""),"1.25-1.25""")</f>
        <v>1.25-1.25"</v>
      </c>
      <c r="F193" s="61" t="str">
        <f ca="1">IFERROR(__xludf.DUMMYFUNCTION("""COMPUTED_VALUE"""),"8-9'")</f>
        <v>8-9'</v>
      </c>
      <c r="G193" s="62">
        <f ca="1">IFERROR(__xludf.DUMMYFUNCTION("""COMPUTED_VALUE"""),2)</f>
        <v>2</v>
      </c>
      <c r="H193" s="63">
        <f ca="1">IFERROR(__xludf.DUMMYFUNCTION("""COMPUTED_VALUE"""),150)</f>
        <v>150</v>
      </c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2.75" x14ac:dyDescent="0.2">
      <c r="A194" s="61" t="str">
        <f ca="1">IFERROR(__xludf.DUMMYFUNCTION("""COMPUTED_VALUE"""),"Rhus glabra")</f>
        <v>Rhus glabra</v>
      </c>
      <c r="B194" s="61">
        <f ca="1">IFERROR(__xludf.DUMMYFUNCTION("""COMPUTED_VALUE"""),5)</f>
        <v>5</v>
      </c>
      <c r="C194" s="61" t="str">
        <f ca="1">IFERROR(__xludf.DUMMYFUNCTION("""COMPUTED_VALUE"""),"Smooth Sumac")</f>
        <v>Smooth Sumac</v>
      </c>
      <c r="D194" s="61" t="str">
        <f ca="1">IFERROR(__xludf.DUMMYFUNCTION("""COMPUTED_VALUE"""),"#5")</f>
        <v>#5</v>
      </c>
      <c r="E194" s="61" t="str">
        <f ca="1">IFERROR(__xludf.DUMMYFUNCTION("""COMPUTED_VALUE"""),"0.75-1.25""")</f>
        <v>0.75-1.25"</v>
      </c>
      <c r="F194" s="61" t="str">
        <f ca="1">IFERROR(__xludf.DUMMYFUNCTION("""COMPUTED_VALUE"""),"5-9'")</f>
        <v>5-9'</v>
      </c>
      <c r="G194" s="62">
        <f ca="1">IFERROR(__xludf.DUMMYFUNCTION("""COMPUTED_VALUE"""),91)</f>
        <v>91</v>
      </c>
      <c r="H194" s="63">
        <f ca="1">IFERROR(__xludf.DUMMYFUNCTION("""COMPUTED_VALUE"""),50)</f>
        <v>50</v>
      </c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2.75" x14ac:dyDescent="0.2">
      <c r="A195" s="61" t="str">
        <f ca="1">IFERROR(__xludf.DUMMYFUNCTION("""COMPUTED_VALUE"""),"Rhus typhina")</f>
        <v>Rhus typhina</v>
      </c>
      <c r="B195" s="61">
        <f ca="1">IFERROR(__xludf.DUMMYFUNCTION("""COMPUTED_VALUE"""),5)</f>
        <v>5</v>
      </c>
      <c r="C195" s="61" t="str">
        <f ca="1">IFERROR(__xludf.DUMMYFUNCTION("""COMPUTED_VALUE"""),"Staghorn Sumac")</f>
        <v>Staghorn Sumac</v>
      </c>
      <c r="D195" s="61" t="str">
        <f ca="1">IFERROR(__xludf.DUMMYFUNCTION("""COMPUTED_VALUE"""),"#5")</f>
        <v>#5</v>
      </c>
      <c r="E195" s="61" t="str">
        <f ca="1">IFERROR(__xludf.DUMMYFUNCTION("""COMPUTED_VALUE"""),"0.25-1.25""")</f>
        <v>0.25-1.25"</v>
      </c>
      <c r="F195" s="61" t="str">
        <f ca="1">IFERROR(__xludf.DUMMYFUNCTION("""COMPUTED_VALUE"""),"3-7'")</f>
        <v>3-7'</v>
      </c>
      <c r="G195" s="62">
        <f ca="1">IFERROR(__xludf.DUMMYFUNCTION("""COMPUTED_VALUE"""),7)</f>
        <v>7</v>
      </c>
      <c r="H195" s="63">
        <f ca="1">IFERROR(__xludf.DUMMYFUNCTION("""COMPUTED_VALUE"""),50)</f>
        <v>50</v>
      </c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2.75" x14ac:dyDescent="0.2">
      <c r="A196" s="61" t="str">
        <f ca="1">IFERROR(__xludf.DUMMYFUNCTION("""COMPUTED_VALUE"""),"Robinia 'Purple Robe'")</f>
        <v>Robinia 'Purple Robe'</v>
      </c>
      <c r="B196" s="61">
        <f ca="1">IFERROR(__xludf.DUMMYFUNCTION("""COMPUTED_VALUE"""),15)</f>
        <v>15</v>
      </c>
      <c r="C196" s="61" t="str">
        <f ca="1">IFERROR(__xludf.DUMMYFUNCTION("""COMPUTED_VALUE"""),"Purple Robe Black Locust")</f>
        <v>Purple Robe Black Locust</v>
      </c>
      <c r="D196" s="61" t="str">
        <f ca="1">IFERROR(__xludf.DUMMYFUNCTION("""COMPUTED_VALUE"""),"#15")</f>
        <v>#15</v>
      </c>
      <c r="E196" s="61" t="str">
        <f ca="1">IFERROR(__xludf.DUMMYFUNCTION("""COMPUTED_VALUE"""),"1.25-1.5""")</f>
        <v>1.25-1.5"</v>
      </c>
      <c r="F196" s="61" t="str">
        <f ca="1">IFERROR(__xludf.DUMMYFUNCTION("""COMPUTED_VALUE"""),"10-12'")</f>
        <v>10-12'</v>
      </c>
      <c r="G196" s="62">
        <f ca="1">IFERROR(__xludf.DUMMYFUNCTION("""COMPUTED_VALUE"""),2)</f>
        <v>2</v>
      </c>
      <c r="H196" s="63">
        <f ca="1">IFERROR(__xludf.DUMMYFUNCTION("""COMPUTED_VALUE"""),135)</f>
        <v>135</v>
      </c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2.75" x14ac:dyDescent="0.2">
      <c r="A197" s="61" t="str">
        <f ca="1">IFERROR(__xludf.DUMMYFUNCTION("""COMPUTED_VALUE"""),"Salix alba ""Tristis""")</f>
        <v>Salix alba "Tristis"</v>
      </c>
      <c r="B197" s="61">
        <f ca="1">IFERROR(__xludf.DUMMYFUNCTION("""COMPUTED_VALUE"""),15)</f>
        <v>15</v>
      </c>
      <c r="C197" s="61" t="str">
        <f ca="1">IFERROR(__xludf.DUMMYFUNCTION("""COMPUTED_VALUE"""),"Niobe Golden Willow")</f>
        <v>Niobe Golden Willow</v>
      </c>
      <c r="D197" s="61" t="str">
        <f ca="1">IFERROR(__xludf.DUMMYFUNCTION("""COMPUTED_VALUE"""),"#15")</f>
        <v>#15</v>
      </c>
      <c r="E197" s="61" t="str">
        <f ca="1">IFERROR(__xludf.DUMMYFUNCTION("""COMPUTED_VALUE"""),"1.25-2.25""")</f>
        <v>1.25-2.25"</v>
      </c>
      <c r="F197" s="61" t="str">
        <f ca="1">IFERROR(__xludf.DUMMYFUNCTION("""COMPUTED_VALUE"""),"10-12'")</f>
        <v>10-12'</v>
      </c>
      <c r="G197" s="62">
        <f ca="1">IFERROR(__xludf.DUMMYFUNCTION("""COMPUTED_VALUE"""),21)</f>
        <v>21</v>
      </c>
      <c r="H197" s="63">
        <f ca="1">IFERROR(__xludf.DUMMYFUNCTION("""COMPUTED_VALUE"""),135)</f>
        <v>135</v>
      </c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2.75" x14ac:dyDescent="0.2">
      <c r="A198" s="61" t="str">
        <f ca="1">IFERROR(__xludf.DUMMYFUNCTION("""COMPUTED_VALUE"""),"Salix babylonica")</f>
        <v>Salix babylonica</v>
      </c>
      <c r="B198" s="61">
        <f ca="1">IFERROR(__xludf.DUMMYFUNCTION("""COMPUTED_VALUE"""),5)</f>
        <v>5</v>
      </c>
      <c r="C198" s="61" t="str">
        <f ca="1">IFERROR(__xludf.DUMMYFUNCTION("""COMPUTED_VALUE"""),"Weeping Willow")</f>
        <v>Weeping Willow</v>
      </c>
      <c r="D198" s="61" t="str">
        <f ca="1">IFERROR(__xludf.DUMMYFUNCTION("""COMPUTED_VALUE"""),"#5")</f>
        <v>#5</v>
      </c>
      <c r="E198" s="61" t="str">
        <f ca="1">IFERROR(__xludf.DUMMYFUNCTION("""COMPUTED_VALUE"""),"1.25-1.75""")</f>
        <v>1.25-1.75"</v>
      </c>
      <c r="F198" s="61" t="str">
        <f ca="1">IFERROR(__xludf.DUMMYFUNCTION("""COMPUTED_VALUE"""),"10-16'")</f>
        <v>10-16'</v>
      </c>
      <c r="G198" s="62">
        <f ca="1">IFERROR(__xludf.DUMMYFUNCTION("""COMPUTED_VALUE"""),8)</f>
        <v>8</v>
      </c>
      <c r="H198" s="63">
        <f ca="1">IFERROR(__xludf.DUMMYFUNCTION("""COMPUTED_VALUE"""),50)</f>
        <v>50</v>
      </c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2.75" x14ac:dyDescent="0.2">
      <c r="A199" s="61" t="str">
        <f ca="1">IFERROR(__xludf.DUMMYFUNCTION("""COMPUTED_VALUE"""),"Salix babylonica")</f>
        <v>Salix babylonica</v>
      </c>
      <c r="B199" s="61">
        <f ca="1">IFERROR(__xludf.DUMMYFUNCTION("""COMPUTED_VALUE"""),7)</f>
        <v>7</v>
      </c>
      <c r="C199" s="61" t="str">
        <f ca="1">IFERROR(__xludf.DUMMYFUNCTION("""COMPUTED_VALUE"""),"Weeping Willow")</f>
        <v>Weeping Willow</v>
      </c>
      <c r="D199" s="61" t="str">
        <f ca="1">IFERROR(__xludf.DUMMYFUNCTION("""COMPUTED_VALUE"""),"#7")</f>
        <v>#7</v>
      </c>
      <c r="E199" s="61" t="str">
        <f ca="1">IFERROR(__xludf.DUMMYFUNCTION("""COMPUTED_VALUE"""),"1.25-1.75""")</f>
        <v>1.25-1.75"</v>
      </c>
      <c r="F199" s="61" t="str">
        <f ca="1">IFERROR(__xludf.DUMMYFUNCTION("""COMPUTED_VALUE"""),"10-16'")</f>
        <v>10-16'</v>
      </c>
      <c r="G199" s="62">
        <f ca="1">IFERROR(__xludf.DUMMYFUNCTION("""COMPUTED_VALUE"""),31)</f>
        <v>31</v>
      </c>
      <c r="H199" s="63">
        <f ca="1">IFERROR(__xludf.DUMMYFUNCTION("""COMPUTED_VALUE"""),60)</f>
        <v>60</v>
      </c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2.75" x14ac:dyDescent="0.2">
      <c r="A200" s="61" t="str">
        <f ca="1">IFERROR(__xludf.DUMMYFUNCTION("""COMPUTED_VALUE"""),"Salix babylonica")</f>
        <v>Salix babylonica</v>
      </c>
      <c r="B200" s="61">
        <f ca="1">IFERROR(__xludf.DUMMYFUNCTION("""COMPUTED_VALUE"""),15)</f>
        <v>15</v>
      </c>
      <c r="C200" s="61" t="str">
        <f ca="1">IFERROR(__xludf.DUMMYFUNCTION("""COMPUTED_VALUE"""),"Weeping Willow")</f>
        <v>Weeping Willow</v>
      </c>
      <c r="D200" s="61" t="str">
        <f ca="1">IFERROR(__xludf.DUMMYFUNCTION("""COMPUTED_VALUE"""),"#15")</f>
        <v>#15</v>
      </c>
      <c r="E200" s="61" t="str">
        <f ca="1">IFERROR(__xludf.DUMMYFUNCTION("""COMPUTED_VALUE"""),"0.75-3""")</f>
        <v>0.75-3"</v>
      </c>
      <c r="F200" s="61" t="str">
        <f ca="1">IFERROR(__xludf.DUMMYFUNCTION("""COMPUTED_VALUE"""),"10-13'")</f>
        <v>10-13'</v>
      </c>
      <c r="G200" s="62">
        <f ca="1">IFERROR(__xludf.DUMMYFUNCTION("""COMPUTED_VALUE"""),1)</f>
        <v>1</v>
      </c>
      <c r="H200" s="63">
        <f ca="1">IFERROR(__xludf.DUMMYFUNCTION("""COMPUTED_VALUE"""),135)</f>
        <v>135</v>
      </c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2.75" x14ac:dyDescent="0.2">
      <c r="A201" s="61" t="str">
        <f ca="1">IFERROR(__xludf.DUMMYFUNCTION("""COMPUTED_VALUE"""),"Salix integra 'Hakuro Nishiki'")</f>
        <v>Salix integra 'Hakuro Nishiki'</v>
      </c>
      <c r="B201" s="61" t="str">
        <f ca="1">IFERROR(__xludf.DUMMYFUNCTION("""COMPUTED_VALUE"""),"7")</f>
        <v>7</v>
      </c>
      <c r="C201" s="61" t="str">
        <f ca="1">IFERROR(__xludf.DUMMYFUNCTION("""COMPUTED_VALUE"""),"Nishiki Dappled Willow")</f>
        <v>Nishiki Dappled Willow</v>
      </c>
      <c r="D201" s="61" t="str">
        <f ca="1">IFERROR(__xludf.DUMMYFUNCTION("""COMPUTED_VALUE"""),"#7")</f>
        <v>#7</v>
      </c>
      <c r="E201" s="61" t="str">
        <f ca="1">IFERROR(__xludf.DUMMYFUNCTION("""COMPUTED_VALUE"""),"0.5-1""")</f>
        <v>0.5-1"</v>
      </c>
      <c r="F201" s="61" t="str">
        <f ca="1">IFERROR(__xludf.DUMMYFUNCTION("""COMPUTED_VALUE"""),"3-6'")</f>
        <v>3-6'</v>
      </c>
      <c r="G201" s="62">
        <f ca="1">IFERROR(__xludf.DUMMYFUNCTION("""COMPUTED_VALUE"""),9)</f>
        <v>9</v>
      </c>
      <c r="H201" s="63">
        <f ca="1">IFERROR(__xludf.DUMMYFUNCTION("""COMPUTED_VALUE"""),80)</f>
        <v>80</v>
      </c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2.75" x14ac:dyDescent="0.2">
      <c r="A202" s="61" t="str">
        <f ca="1">IFERROR(__xludf.DUMMYFUNCTION("""COMPUTED_VALUE"""),"Salix pentaphyllum")</f>
        <v>Salix pentaphyllum</v>
      </c>
      <c r="B202" s="61">
        <f ca="1">IFERROR(__xludf.DUMMYFUNCTION("""COMPUTED_VALUE"""),15)</f>
        <v>15</v>
      </c>
      <c r="C202" s="61" t="str">
        <f ca="1">IFERROR(__xludf.DUMMYFUNCTION("""COMPUTED_VALUE"""),"Prairie Cascade Willow")</f>
        <v>Prairie Cascade Willow</v>
      </c>
      <c r="D202" s="61" t="str">
        <f ca="1">IFERROR(__xludf.DUMMYFUNCTION("""COMPUTED_VALUE"""),"#15")</f>
        <v>#15</v>
      </c>
      <c r="E202" s="61" t="str">
        <f ca="1">IFERROR(__xludf.DUMMYFUNCTION("""COMPUTED_VALUE"""),"1.75-2.5""")</f>
        <v>1.75-2.5"</v>
      </c>
      <c r="F202" s="61" t="str">
        <f ca="1">IFERROR(__xludf.DUMMYFUNCTION("""COMPUTED_VALUE"""),"10-16'")</f>
        <v>10-16'</v>
      </c>
      <c r="G202" s="62">
        <f ca="1">IFERROR(__xludf.DUMMYFUNCTION("""COMPUTED_VALUE"""),14)</f>
        <v>14</v>
      </c>
      <c r="H202" s="63">
        <f ca="1">IFERROR(__xludf.DUMMYFUNCTION("""COMPUTED_VALUE"""),135)</f>
        <v>135</v>
      </c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2.75" x14ac:dyDescent="0.2">
      <c r="A203" s="61" t="str">
        <f ca="1">IFERROR(__xludf.DUMMYFUNCTION("""COMPUTED_VALUE"""),"Salix pentaphyllum")</f>
        <v>Salix pentaphyllum</v>
      </c>
      <c r="B203" s="61">
        <f ca="1">IFERROR(__xludf.DUMMYFUNCTION("""COMPUTED_VALUE"""),25)</f>
        <v>25</v>
      </c>
      <c r="C203" s="61" t="str">
        <f ca="1">IFERROR(__xludf.DUMMYFUNCTION("""COMPUTED_VALUE"""),"Prairie Cascade Willow")</f>
        <v>Prairie Cascade Willow</v>
      </c>
      <c r="D203" s="61" t="str">
        <f ca="1">IFERROR(__xludf.DUMMYFUNCTION("""COMPUTED_VALUE"""),"#25")</f>
        <v>#25</v>
      </c>
      <c r="E203" s="61" t="str">
        <f ca="1">IFERROR(__xludf.DUMMYFUNCTION("""COMPUTED_VALUE"""),"2.25-3""")</f>
        <v>2.25-3"</v>
      </c>
      <c r="F203" s="61" t="str">
        <f ca="1">IFERROR(__xludf.DUMMYFUNCTION("""COMPUTED_VALUE"""),"14-16'")</f>
        <v>14-16'</v>
      </c>
      <c r="G203" s="62">
        <f ca="1">IFERROR(__xludf.DUMMYFUNCTION("""COMPUTED_VALUE"""),3)</f>
        <v>3</v>
      </c>
      <c r="H203" s="63">
        <f ca="1">IFERROR(__xludf.DUMMYFUNCTION("""COMPUTED_VALUE"""),150)</f>
        <v>150</v>
      </c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2.75" x14ac:dyDescent="0.2">
      <c r="A204" s="61" t="str">
        <f ca="1">IFERROR(__xludf.DUMMYFUNCTION("""COMPUTED_VALUE"""),"Sambucus canadensis")</f>
        <v>Sambucus canadensis</v>
      </c>
      <c r="B204" s="61">
        <f ca="1">IFERROR(__xludf.DUMMYFUNCTION("""COMPUTED_VALUE"""),5)</f>
        <v>5</v>
      </c>
      <c r="C204" s="61" t="str">
        <f ca="1">IFERROR(__xludf.DUMMYFUNCTION("""COMPUTED_VALUE"""),"Elderberry")</f>
        <v>Elderberry</v>
      </c>
      <c r="D204" s="61" t="str">
        <f ca="1">IFERROR(__xludf.DUMMYFUNCTION("""COMPUTED_VALUE"""),"#5")</f>
        <v>#5</v>
      </c>
      <c r="E204" s="61" t="str">
        <f ca="1">IFERROR(__xludf.DUMMYFUNCTION("""COMPUTED_VALUE"""),"Multi")</f>
        <v>Multi</v>
      </c>
      <c r="F204" s="61" t="str">
        <f ca="1">IFERROR(__xludf.DUMMYFUNCTION("""COMPUTED_VALUE"""),"1-5'")</f>
        <v>1-5'</v>
      </c>
      <c r="G204" s="62">
        <f ca="1">IFERROR(__xludf.DUMMYFUNCTION("""COMPUTED_VALUE"""),163)</f>
        <v>163</v>
      </c>
      <c r="H204" s="63">
        <f ca="1">IFERROR(__xludf.DUMMYFUNCTION("""COMPUTED_VALUE"""),35)</f>
        <v>35</v>
      </c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2.75" x14ac:dyDescent="0.2">
      <c r="A205" s="61" t="str">
        <f ca="1">IFERROR(__xludf.DUMMYFUNCTION("""COMPUTED_VALUE"""),"Sambucus canadensis 'Pocahontas'")</f>
        <v>Sambucus canadensis 'Pocahontas'</v>
      </c>
      <c r="B205" s="61">
        <f ca="1">IFERROR(__xludf.DUMMYFUNCTION("""COMPUTED_VALUE"""),5)</f>
        <v>5</v>
      </c>
      <c r="C205" s="61" t="str">
        <f ca="1">IFERROR(__xludf.DUMMYFUNCTION("""COMPUTED_VALUE"""),"Elderberry - Pocahontas")</f>
        <v>Elderberry - Pocahontas</v>
      </c>
      <c r="D205" s="61" t="str">
        <f ca="1">IFERROR(__xludf.DUMMYFUNCTION("""COMPUTED_VALUE"""),"#5")</f>
        <v>#5</v>
      </c>
      <c r="E205" s="61" t="str">
        <f ca="1">IFERROR(__xludf.DUMMYFUNCTION("""COMPUTED_VALUE"""),"Multi")</f>
        <v>Multi</v>
      </c>
      <c r="F205" s="61" t="str">
        <f ca="1">IFERROR(__xludf.DUMMYFUNCTION("""COMPUTED_VALUE"""),"1.5-4'")</f>
        <v>1.5-4'</v>
      </c>
      <c r="G205" s="62">
        <f ca="1">IFERROR(__xludf.DUMMYFUNCTION("""COMPUTED_VALUE"""),27)</f>
        <v>27</v>
      </c>
      <c r="H205" s="63">
        <f ca="1">IFERROR(__xludf.DUMMYFUNCTION("""COMPUTED_VALUE"""),35)</f>
        <v>35</v>
      </c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2.75" x14ac:dyDescent="0.2">
      <c r="A206" s="61" t="str">
        <f ca="1">IFERROR(__xludf.DUMMYFUNCTION("""COMPUTED_VALUE"""),"Sambucus canadensis 'York'")</f>
        <v>Sambucus canadensis 'York'</v>
      </c>
      <c r="B206" s="61">
        <f ca="1">IFERROR(__xludf.DUMMYFUNCTION("""COMPUTED_VALUE"""),5)</f>
        <v>5</v>
      </c>
      <c r="C206" s="61" t="str">
        <f ca="1">IFERROR(__xludf.DUMMYFUNCTION("""COMPUTED_VALUE"""),"Elderberry - York")</f>
        <v>Elderberry - York</v>
      </c>
      <c r="D206" s="61" t="str">
        <f ca="1">IFERROR(__xludf.DUMMYFUNCTION("""COMPUTED_VALUE"""),"#5")</f>
        <v>#5</v>
      </c>
      <c r="E206" s="61" t="str">
        <f ca="1">IFERROR(__xludf.DUMMYFUNCTION("""COMPUTED_VALUE"""),"Multi")</f>
        <v>Multi</v>
      </c>
      <c r="F206" s="61" t="str">
        <f ca="1">IFERROR(__xludf.DUMMYFUNCTION("""COMPUTED_VALUE"""),"3-5'")</f>
        <v>3-5'</v>
      </c>
      <c r="G206" s="62">
        <f ca="1">IFERROR(__xludf.DUMMYFUNCTION("""COMPUTED_VALUE"""),141)</f>
        <v>141</v>
      </c>
      <c r="H206" s="63">
        <f ca="1">IFERROR(__xludf.DUMMYFUNCTION("""COMPUTED_VALUE"""),35)</f>
        <v>35</v>
      </c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2.75" x14ac:dyDescent="0.2">
      <c r="A207" s="61" t="str">
        <f ca="1">IFERROR(__xludf.DUMMYFUNCTION("""COMPUTED_VALUE"""),"Sassafras albidum")</f>
        <v>Sassafras albidum</v>
      </c>
      <c r="B207" s="61">
        <f ca="1">IFERROR(__xludf.DUMMYFUNCTION("""COMPUTED_VALUE"""),7)</f>
        <v>7</v>
      </c>
      <c r="C207" s="61" t="str">
        <f ca="1">IFERROR(__xludf.DUMMYFUNCTION("""COMPUTED_VALUE"""),"Sassafras")</f>
        <v>Sassafras</v>
      </c>
      <c r="D207" s="61" t="str">
        <f ca="1">IFERROR(__xludf.DUMMYFUNCTION("""COMPUTED_VALUE"""),"#7")</f>
        <v>#7</v>
      </c>
      <c r="E207" s="61" t="str">
        <f ca="1">IFERROR(__xludf.DUMMYFUNCTION("""COMPUTED_VALUE"""),"0.5-0.75""")</f>
        <v>0.5-0.75"</v>
      </c>
      <c r="F207" s="61" t="str">
        <f ca="1">IFERROR(__xludf.DUMMYFUNCTION("""COMPUTED_VALUE"""),"3-6'")</f>
        <v>3-6'</v>
      </c>
      <c r="G207" s="62">
        <f ca="1">IFERROR(__xludf.DUMMYFUNCTION("""COMPUTED_VALUE"""),12)</f>
        <v>12</v>
      </c>
      <c r="H207" s="63">
        <f ca="1">IFERROR(__xludf.DUMMYFUNCTION("""COMPUTED_VALUE"""),100)</f>
        <v>100</v>
      </c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2.75" x14ac:dyDescent="0.2">
      <c r="A208" s="61" t="str">
        <f ca="1">IFERROR(__xludf.DUMMYFUNCTION("""COMPUTED_VALUE"""),"Stewartia pseudocamellia")</f>
        <v>Stewartia pseudocamellia</v>
      </c>
      <c r="B208" s="61">
        <f ca="1">IFERROR(__xludf.DUMMYFUNCTION("""COMPUTED_VALUE"""),5)</f>
        <v>5</v>
      </c>
      <c r="C208" s="61" t="str">
        <f ca="1">IFERROR(__xludf.DUMMYFUNCTION("""COMPUTED_VALUE"""),"Japanese Stewartia")</f>
        <v>Japanese Stewartia</v>
      </c>
      <c r="D208" s="61" t="str">
        <f ca="1">IFERROR(__xludf.DUMMYFUNCTION("""COMPUTED_VALUE"""),"#5")</f>
        <v>#5</v>
      </c>
      <c r="E208" s="61" t="str">
        <f ca="1">IFERROR(__xludf.DUMMYFUNCTION("""COMPUTED_VALUE"""),"0.5-1.25""")</f>
        <v>0.5-1.25"</v>
      </c>
      <c r="F208" s="61" t="str">
        <f ca="1">IFERROR(__xludf.DUMMYFUNCTION("""COMPUTED_VALUE"""),"5-8'")</f>
        <v>5-8'</v>
      </c>
      <c r="G208" s="62">
        <f ca="1">IFERROR(__xludf.DUMMYFUNCTION("""COMPUTED_VALUE"""),22)</f>
        <v>22</v>
      </c>
      <c r="H208" s="63">
        <f ca="1">IFERROR(__xludf.DUMMYFUNCTION("""COMPUTED_VALUE"""),70)</f>
        <v>70</v>
      </c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2.75" x14ac:dyDescent="0.2">
      <c r="A209" s="61" t="str">
        <f ca="1">IFERROR(__xludf.DUMMYFUNCTION("""COMPUTED_VALUE"""),"Syringa vulgaris")</f>
        <v>Syringa vulgaris</v>
      </c>
      <c r="B209" s="61">
        <f ca="1">IFERROR(__xludf.DUMMYFUNCTION("""COMPUTED_VALUE"""),5)</f>
        <v>5</v>
      </c>
      <c r="C209" s="61" t="str">
        <f ca="1">IFERROR(__xludf.DUMMYFUNCTION("""COMPUTED_VALUE"""),"Purple Lilac")</f>
        <v>Purple Lilac</v>
      </c>
      <c r="D209" s="61" t="str">
        <f ca="1">IFERROR(__xludf.DUMMYFUNCTION("""COMPUTED_VALUE"""),"#5")</f>
        <v>#5</v>
      </c>
      <c r="E209" s="61" t="str">
        <f ca="1">IFERROR(__xludf.DUMMYFUNCTION("""COMPUTED_VALUE"""),"0.25-1""")</f>
        <v>0.25-1"</v>
      </c>
      <c r="F209" s="61" t="str">
        <f ca="1">IFERROR(__xludf.DUMMYFUNCTION("""COMPUTED_VALUE"""),"1-5'")</f>
        <v>1-5'</v>
      </c>
      <c r="G209" s="62">
        <f ca="1">IFERROR(__xludf.DUMMYFUNCTION("""COMPUTED_VALUE"""),9)</f>
        <v>9</v>
      </c>
      <c r="H209" s="63">
        <f ca="1">IFERROR(__xludf.DUMMYFUNCTION("""COMPUTED_VALUE"""),37)</f>
        <v>37</v>
      </c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2.75" x14ac:dyDescent="0.2">
      <c r="A210" s="61" t="str">
        <f ca="1">IFERROR(__xludf.DUMMYFUNCTION("""COMPUTED_VALUE"""),"Taxodium distichum")</f>
        <v>Taxodium distichum</v>
      </c>
      <c r="B210" s="61">
        <f ca="1">IFERROR(__xludf.DUMMYFUNCTION("""COMPUTED_VALUE"""),5)</f>
        <v>5</v>
      </c>
      <c r="C210" s="61" t="str">
        <f ca="1">IFERROR(__xludf.DUMMYFUNCTION("""COMPUTED_VALUE"""),"Bald Cypress")</f>
        <v>Bald Cypress</v>
      </c>
      <c r="D210" s="61" t="str">
        <f ca="1">IFERROR(__xludf.DUMMYFUNCTION("""COMPUTED_VALUE"""),"#5")</f>
        <v>#5</v>
      </c>
      <c r="E210" s="61" t="str">
        <f ca="1">IFERROR(__xludf.DUMMYFUNCTION("""COMPUTED_VALUE"""),"0.75-1""")</f>
        <v>0.75-1"</v>
      </c>
      <c r="F210" s="61" t="str">
        <f ca="1">IFERROR(__xludf.DUMMYFUNCTION("""COMPUTED_VALUE"""),"4-6'")</f>
        <v>4-6'</v>
      </c>
      <c r="G210" s="62">
        <f ca="1">IFERROR(__xludf.DUMMYFUNCTION("""COMPUTED_VALUE"""),4)</f>
        <v>4</v>
      </c>
      <c r="H210" s="63">
        <f ca="1">IFERROR(__xludf.DUMMYFUNCTION("""COMPUTED_VALUE"""),50)</f>
        <v>50</v>
      </c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2.75" x14ac:dyDescent="0.2">
      <c r="A211" s="61" t="str">
        <f ca="1">IFERROR(__xludf.DUMMYFUNCTION("""COMPUTED_VALUE"""),"Taxodium distichum")</f>
        <v>Taxodium distichum</v>
      </c>
      <c r="B211" s="61">
        <f ca="1">IFERROR(__xludf.DUMMYFUNCTION("""COMPUTED_VALUE"""),15)</f>
        <v>15</v>
      </c>
      <c r="C211" s="61" t="str">
        <f ca="1">IFERROR(__xludf.DUMMYFUNCTION("""COMPUTED_VALUE"""),"Bald Cypress")</f>
        <v>Bald Cypress</v>
      </c>
      <c r="D211" s="61" t="str">
        <f ca="1">IFERROR(__xludf.DUMMYFUNCTION("""COMPUTED_VALUE"""),"#15")</f>
        <v>#15</v>
      </c>
      <c r="E211" s="61" t="str">
        <f ca="1">IFERROR(__xludf.DUMMYFUNCTION("""COMPUTED_VALUE"""),"1.5-1.5""")</f>
        <v>1.5-1.5"</v>
      </c>
      <c r="F211" s="61" t="str">
        <f ca="1">IFERROR(__xludf.DUMMYFUNCTION("""COMPUTED_VALUE"""),"7-7'")</f>
        <v>7-7'</v>
      </c>
      <c r="G211" s="62">
        <f ca="1">IFERROR(__xludf.DUMMYFUNCTION("""COMPUTED_VALUE"""),1)</f>
        <v>1</v>
      </c>
      <c r="H211" s="63">
        <f ca="1">IFERROR(__xludf.DUMMYFUNCTION("""COMPUTED_VALUE"""),135)</f>
        <v>135</v>
      </c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2.75" x14ac:dyDescent="0.2">
      <c r="A212" s="61" t="str">
        <f ca="1">IFERROR(__xludf.DUMMYFUNCTION("""COMPUTED_VALUE"""),"Taxodium distichum 'Lindsey's Skyward'")</f>
        <v>Taxodium distichum 'Lindsey's Skyward'</v>
      </c>
      <c r="B212" s="61">
        <f ca="1">IFERROR(__xludf.DUMMYFUNCTION("""COMPUTED_VALUE"""),10)</f>
        <v>10</v>
      </c>
      <c r="C212" s="61" t="str">
        <f ca="1">IFERROR(__xludf.DUMMYFUNCTION("""COMPUTED_VALUE"""),"Lindsey's Skyward Bald Cypress")</f>
        <v>Lindsey's Skyward Bald Cypress</v>
      </c>
      <c r="D212" s="61" t="str">
        <f ca="1">IFERROR(__xludf.DUMMYFUNCTION("""COMPUTED_VALUE"""),"#10")</f>
        <v>#10</v>
      </c>
      <c r="E212" s="61" t="str">
        <f ca="1">IFERROR(__xludf.DUMMYFUNCTION("""COMPUTED_VALUE"""),"0.75-1.25""")</f>
        <v>0.75-1.25"</v>
      </c>
      <c r="F212" s="61" t="str">
        <f ca="1">IFERROR(__xludf.DUMMYFUNCTION("""COMPUTED_VALUE"""),"5-8'")</f>
        <v>5-8'</v>
      </c>
      <c r="G212" s="62">
        <f ca="1">IFERROR(__xludf.DUMMYFUNCTION("""COMPUTED_VALUE"""),17)</f>
        <v>17</v>
      </c>
      <c r="H212" s="63">
        <f ca="1">IFERROR(__xludf.DUMMYFUNCTION("""COMPUTED_VALUE"""),100)</f>
        <v>100</v>
      </c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2.75" x14ac:dyDescent="0.2">
      <c r="A213" s="61" t="str">
        <f ca="1">IFERROR(__xludf.DUMMYFUNCTION("""COMPUTED_VALUE"""),"Taxodium distichum 'Shawnee Brave'")</f>
        <v>Taxodium distichum 'Shawnee Brave'</v>
      </c>
      <c r="B213" s="61">
        <f ca="1">IFERROR(__xludf.DUMMYFUNCTION("""COMPUTED_VALUE"""),15)</f>
        <v>15</v>
      </c>
      <c r="C213" s="61" t="str">
        <f ca="1">IFERROR(__xludf.DUMMYFUNCTION("""COMPUTED_VALUE"""),"Shawnee Brave Bald Cypress")</f>
        <v>Shawnee Brave Bald Cypress</v>
      </c>
      <c r="D213" s="61" t="str">
        <f ca="1">IFERROR(__xludf.DUMMYFUNCTION("""COMPUTED_VALUE"""),"#15")</f>
        <v>#15</v>
      </c>
      <c r="E213" s="61" t="str">
        <f ca="1">IFERROR(__xludf.DUMMYFUNCTION("""COMPUTED_VALUE"""),"0.75-1""")</f>
        <v>0.75-1"</v>
      </c>
      <c r="F213" s="61" t="str">
        <f ca="1">IFERROR(__xludf.DUMMYFUNCTION("""COMPUTED_VALUE"""),"5-6'")</f>
        <v>5-6'</v>
      </c>
      <c r="G213" s="62">
        <f ca="1">IFERROR(__xludf.DUMMYFUNCTION("""COMPUTED_VALUE"""),21)</f>
        <v>21</v>
      </c>
      <c r="H213" s="63">
        <f ca="1">IFERROR(__xludf.DUMMYFUNCTION("""COMPUTED_VALUE"""),135)</f>
        <v>135</v>
      </c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2.75" x14ac:dyDescent="0.2">
      <c r="A214" s="61" t="str">
        <f ca="1">IFERROR(__xludf.DUMMYFUNCTION("""COMPUTED_VALUE"""),"Taxus x media")</f>
        <v>Taxus x media</v>
      </c>
      <c r="B214" s="61" t="str">
        <f ca="1">IFERROR(__xludf.DUMMYFUNCTION("""COMPUTED_VALUE"""),"3")</f>
        <v>3</v>
      </c>
      <c r="C214" s="61" t="str">
        <f ca="1">IFERROR(__xludf.DUMMYFUNCTION("""COMPUTED_VALUE"""),"Hicksii Yew")</f>
        <v>Hicksii Yew</v>
      </c>
      <c r="D214" s="61" t="str">
        <f ca="1">IFERROR(__xludf.DUMMYFUNCTION("""COMPUTED_VALUE"""),"#3")</f>
        <v>#3</v>
      </c>
      <c r="E214" s="61" t="str">
        <f ca="1">IFERROR(__xludf.DUMMYFUNCTION("""COMPUTED_VALUE"""),"Multi")</f>
        <v>Multi</v>
      </c>
      <c r="F214" s="61" t="str">
        <f ca="1">IFERROR(__xludf.DUMMYFUNCTION("""COMPUTED_VALUE"""),"1.5-2'")</f>
        <v>1.5-2'</v>
      </c>
      <c r="G214" s="62">
        <f ca="1">IFERROR(__xludf.DUMMYFUNCTION("""COMPUTED_VALUE"""),3)</f>
        <v>3</v>
      </c>
      <c r="H214" s="63">
        <f ca="1">IFERROR(__xludf.DUMMYFUNCTION("""COMPUTED_VALUE"""),35)</f>
        <v>35</v>
      </c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2.75" x14ac:dyDescent="0.2">
      <c r="A215" s="61" t="str">
        <f ca="1">IFERROR(__xludf.DUMMYFUNCTION("""COMPUTED_VALUE"""),"Thuja plicata x standishii 'Green Giant'")</f>
        <v>Thuja plicata x standishii 'Green Giant'</v>
      </c>
      <c r="B215" s="61">
        <f ca="1">IFERROR(__xludf.DUMMYFUNCTION("""COMPUTED_VALUE"""),5)</f>
        <v>5</v>
      </c>
      <c r="C215" s="61" t="str">
        <f ca="1">IFERROR(__xludf.DUMMYFUNCTION("""COMPUTED_VALUE"""),"Green Giant Arborvitae")</f>
        <v>Green Giant Arborvitae</v>
      </c>
      <c r="D215" s="61" t="str">
        <f ca="1">IFERROR(__xludf.DUMMYFUNCTION("""COMPUTED_VALUE"""),"#5")</f>
        <v>#5</v>
      </c>
      <c r="E215" s="61" t="str">
        <f ca="1">IFERROR(__xludf.DUMMYFUNCTION("""COMPUTED_VALUE"""),"0.25-0.75""")</f>
        <v>0.25-0.75"</v>
      </c>
      <c r="F215" s="61" t="str">
        <f ca="1">IFERROR(__xludf.DUMMYFUNCTION("""COMPUTED_VALUE"""),"2-4'")</f>
        <v>2-4'</v>
      </c>
      <c r="G215" s="62">
        <f ca="1">IFERROR(__xludf.DUMMYFUNCTION("""COMPUTED_VALUE"""),112)</f>
        <v>112</v>
      </c>
      <c r="H215" s="63">
        <f ca="1">IFERROR(__xludf.DUMMYFUNCTION("""COMPUTED_VALUE"""),50)</f>
        <v>50</v>
      </c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2.75" x14ac:dyDescent="0.2">
      <c r="A216" s="61" t="str">
        <f ca="1">IFERROR(__xludf.DUMMYFUNCTION("""COMPUTED_VALUE"""),"Thuja plicata x standishii 'Green Giant'")</f>
        <v>Thuja plicata x standishii 'Green Giant'</v>
      </c>
      <c r="B216" s="61" t="str">
        <f ca="1">IFERROR(__xludf.DUMMYFUNCTION("""COMPUTED_VALUE"""),"10")</f>
        <v>10</v>
      </c>
      <c r="C216" s="61" t="str">
        <f ca="1">IFERROR(__xludf.DUMMYFUNCTION("""COMPUTED_VALUE"""),"Green Giant Arborvitae")</f>
        <v>Green Giant Arborvitae</v>
      </c>
      <c r="D216" s="61" t="str">
        <f ca="1">IFERROR(__xludf.DUMMYFUNCTION("""COMPUTED_VALUE"""),"#10")</f>
        <v>#10</v>
      </c>
      <c r="E216" s="61" t="str">
        <f ca="1">IFERROR(__xludf.DUMMYFUNCTION("""COMPUTED_VALUE"""),"1.25-1.75""")</f>
        <v>1.25-1.75"</v>
      </c>
      <c r="F216" s="61" t="str">
        <f ca="1">IFERROR(__xludf.DUMMYFUNCTION("""COMPUTED_VALUE"""),"6-7'")</f>
        <v>6-7'</v>
      </c>
      <c r="G216" s="62">
        <f ca="1">IFERROR(__xludf.DUMMYFUNCTION("""COMPUTED_VALUE"""),68)</f>
        <v>68</v>
      </c>
      <c r="H216" s="63">
        <f ca="1">IFERROR(__xludf.DUMMYFUNCTION("""COMPUTED_VALUE"""),135)</f>
        <v>135</v>
      </c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2.75" x14ac:dyDescent="0.2">
      <c r="A217" s="61" t="str">
        <f ca="1">IFERROR(__xludf.DUMMYFUNCTION("""COMPUTED_VALUE"""),"Tilia americana")</f>
        <v>Tilia americana</v>
      </c>
      <c r="B217" s="61">
        <f ca="1">IFERROR(__xludf.DUMMYFUNCTION("""COMPUTED_VALUE"""),5)</f>
        <v>5</v>
      </c>
      <c r="C217" s="61" t="str">
        <f ca="1">IFERROR(__xludf.DUMMYFUNCTION("""COMPUTED_VALUE"""),"American Linden")</f>
        <v>American Linden</v>
      </c>
      <c r="D217" s="61" t="str">
        <f ca="1">IFERROR(__xludf.DUMMYFUNCTION("""COMPUTED_VALUE"""),"#5")</f>
        <v>#5</v>
      </c>
      <c r="E217" s="61" t="str">
        <f ca="1">IFERROR(__xludf.DUMMYFUNCTION("""COMPUTED_VALUE"""),"0.25-1.25""")</f>
        <v>0.25-1.25"</v>
      </c>
      <c r="F217" s="61" t="str">
        <f ca="1">IFERROR(__xludf.DUMMYFUNCTION("""COMPUTED_VALUE"""),"3-8'")</f>
        <v>3-8'</v>
      </c>
      <c r="G217" s="62">
        <f ca="1">IFERROR(__xludf.DUMMYFUNCTION("""COMPUTED_VALUE"""),38)</f>
        <v>38</v>
      </c>
      <c r="H217" s="63">
        <f ca="1">IFERROR(__xludf.DUMMYFUNCTION("""COMPUTED_VALUE"""),50)</f>
        <v>50</v>
      </c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2.75" x14ac:dyDescent="0.2">
      <c r="A218" s="61" t="str">
        <f ca="1">IFERROR(__xludf.DUMMYFUNCTION("""COMPUTED_VALUE"""),"Tilia americana 'American Sentry'")</f>
        <v>Tilia americana 'American Sentry'</v>
      </c>
      <c r="B218" s="61">
        <f ca="1">IFERROR(__xludf.DUMMYFUNCTION("""COMPUTED_VALUE"""),15)</f>
        <v>15</v>
      </c>
      <c r="C218" s="61" t="str">
        <f ca="1">IFERROR(__xludf.DUMMYFUNCTION("""COMPUTED_VALUE"""),"American Sentry Linden")</f>
        <v>American Sentry Linden</v>
      </c>
      <c r="D218" s="61" t="str">
        <f ca="1">IFERROR(__xludf.DUMMYFUNCTION("""COMPUTED_VALUE"""),"#15")</f>
        <v>#15</v>
      </c>
      <c r="E218" s="61" t="str">
        <f ca="1">IFERROR(__xludf.DUMMYFUNCTION("""COMPUTED_VALUE"""),"1.25-2""")</f>
        <v>1.25-2"</v>
      </c>
      <c r="F218" s="61" t="str">
        <f ca="1">IFERROR(__xludf.DUMMYFUNCTION("""COMPUTED_VALUE"""),"8.5-12'")</f>
        <v>8.5-12'</v>
      </c>
      <c r="G218" s="62">
        <f ca="1">IFERROR(__xludf.DUMMYFUNCTION("""COMPUTED_VALUE"""),1)</f>
        <v>1</v>
      </c>
      <c r="H218" s="63">
        <f ca="1">IFERROR(__xludf.DUMMYFUNCTION("""COMPUTED_VALUE"""),135)</f>
        <v>135</v>
      </c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2.75" x14ac:dyDescent="0.2">
      <c r="A219" s="61" t="str">
        <f ca="1">IFERROR(__xludf.DUMMYFUNCTION("""COMPUTED_VALUE"""),"Tilia cordata")</f>
        <v>Tilia cordata</v>
      </c>
      <c r="B219" s="61">
        <f ca="1">IFERROR(__xludf.DUMMYFUNCTION("""COMPUTED_VALUE"""),5)</f>
        <v>5</v>
      </c>
      <c r="C219" s="61" t="str">
        <f ca="1">IFERROR(__xludf.DUMMYFUNCTION("""COMPUTED_VALUE"""),"Littleleaf Linden")</f>
        <v>Littleleaf Linden</v>
      </c>
      <c r="D219" s="61" t="str">
        <f ca="1">IFERROR(__xludf.DUMMYFUNCTION("""COMPUTED_VALUE"""),"#5")</f>
        <v>#5</v>
      </c>
      <c r="E219" s="61" t="str">
        <f ca="1">IFERROR(__xludf.DUMMYFUNCTION("""COMPUTED_VALUE"""),"0.75-1.5""")</f>
        <v>0.75-1.5"</v>
      </c>
      <c r="F219" s="61" t="str">
        <f ca="1">IFERROR(__xludf.DUMMYFUNCTION("""COMPUTED_VALUE"""),"5-8'")</f>
        <v>5-8'</v>
      </c>
      <c r="G219" s="62">
        <f ca="1">IFERROR(__xludf.DUMMYFUNCTION("""COMPUTED_VALUE"""),21)</f>
        <v>21</v>
      </c>
      <c r="H219" s="63">
        <f ca="1">IFERROR(__xludf.DUMMYFUNCTION("""COMPUTED_VALUE"""),50)</f>
        <v>50</v>
      </c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2.75" x14ac:dyDescent="0.2">
      <c r="A220" s="61" t="str">
        <f ca="1">IFERROR(__xludf.DUMMYFUNCTION("""COMPUTED_VALUE"""),"Tilia tomentosa")</f>
        <v>Tilia tomentosa</v>
      </c>
      <c r="B220" s="61">
        <f ca="1">IFERROR(__xludf.DUMMYFUNCTION("""COMPUTED_VALUE"""),5)</f>
        <v>5</v>
      </c>
      <c r="C220" s="61" t="str">
        <f ca="1">IFERROR(__xludf.DUMMYFUNCTION("""COMPUTED_VALUE"""),"Silver Linden")</f>
        <v>Silver Linden</v>
      </c>
      <c r="D220" s="61" t="str">
        <f ca="1">IFERROR(__xludf.DUMMYFUNCTION("""COMPUTED_VALUE"""),"#5")</f>
        <v>#5</v>
      </c>
      <c r="E220" s="61" t="str">
        <f ca="1">IFERROR(__xludf.DUMMYFUNCTION("""COMPUTED_VALUE"""),"0.5-1.5""")</f>
        <v>0.5-1.5"</v>
      </c>
      <c r="F220" s="61" t="str">
        <f ca="1">IFERROR(__xludf.DUMMYFUNCTION("""COMPUTED_VALUE"""),"3-9'")</f>
        <v>3-9'</v>
      </c>
      <c r="G220" s="62">
        <f ca="1">IFERROR(__xludf.DUMMYFUNCTION("""COMPUTED_VALUE"""),39)</f>
        <v>39</v>
      </c>
      <c r="H220" s="63">
        <f ca="1">IFERROR(__xludf.DUMMYFUNCTION("""COMPUTED_VALUE"""),50)</f>
        <v>50</v>
      </c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2.75" x14ac:dyDescent="0.2">
      <c r="A221" s="61" t="str">
        <f ca="1">IFERROR(__xludf.DUMMYFUNCTION("""COMPUTED_VALUE"""),"Tilia x mongolica 'Harvest Gold'")</f>
        <v>Tilia x mongolica 'Harvest Gold'</v>
      </c>
      <c r="B221" s="61">
        <f ca="1">IFERROR(__xludf.DUMMYFUNCTION("""COMPUTED_VALUE"""),15)</f>
        <v>15</v>
      </c>
      <c r="C221" s="61" t="str">
        <f ca="1">IFERROR(__xludf.DUMMYFUNCTION("""COMPUTED_VALUE"""),"Harvest Gold Linden")</f>
        <v>Harvest Gold Linden</v>
      </c>
      <c r="D221" s="61" t="str">
        <f ca="1">IFERROR(__xludf.DUMMYFUNCTION("""COMPUTED_VALUE"""),"#15")</f>
        <v>#15</v>
      </c>
      <c r="E221" s="61" t="str">
        <f ca="1">IFERROR(__xludf.DUMMYFUNCTION("""COMPUTED_VALUE"""),"1.25-2.25""")</f>
        <v>1.25-2.25"</v>
      </c>
      <c r="F221" s="61" t="str">
        <f ca="1">IFERROR(__xludf.DUMMYFUNCTION("""COMPUTED_VALUE"""),"8.5-9.5'")</f>
        <v>8.5-9.5'</v>
      </c>
      <c r="G221" s="62">
        <f ca="1">IFERROR(__xludf.DUMMYFUNCTION("""COMPUTED_VALUE"""),12)</f>
        <v>12</v>
      </c>
      <c r="H221" s="63">
        <f ca="1">IFERROR(__xludf.DUMMYFUNCTION("""COMPUTED_VALUE"""),135)</f>
        <v>135</v>
      </c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2.75" x14ac:dyDescent="0.2">
      <c r="A222" s="61" t="str">
        <f ca="1">IFERROR(__xludf.DUMMYFUNCTION("""COMPUTED_VALUE"""),"Tsuga canadensis")</f>
        <v>Tsuga canadensis</v>
      </c>
      <c r="B222" s="61" t="str">
        <f ca="1">IFERROR(__xludf.DUMMYFUNCTION("""COMPUTED_VALUE"""),"10")</f>
        <v>10</v>
      </c>
      <c r="C222" s="61" t="str">
        <f ca="1">IFERROR(__xludf.DUMMYFUNCTION("""COMPUTED_VALUE"""),"Hemlock")</f>
        <v>Hemlock</v>
      </c>
      <c r="D222" s="61" t="str">
        <f ca="1">IFERROR(__xludf.DUMMYFUNCTION("""COMPUTED_VALUE"""),"#10")</f>
        <v>#10</v>
      </c>
      <c r="E222" s="61" t="str">
        <f ca="1">IFERROR(__xludf.DUMMYFUNCTION("""COMPUTED_VALUE"""),"1.25-1.5""")</f>
        <v>1.25-1.5"</v>
      </c>
      <c r="F222" s="61" t="str">
        <f ca="1">IFERROR(__xludf.DUMMYFUNCTION("""COMPUTED_VALUE"""),"4-5'")</f>
        <v>4-5'</v>
      </c>
      <c r="G222" s="62">
        <f ca="1">IFERROR(__xludf.DUMMYFUNCTION("""COMPUTED_VALUE"""),7)</f>
        <v>7</v>
      </c>
      <c r="H222" s="63">
        <f ca="1">IFERROR(__xludf.DUMMYFUNCTION("""COMPUTED_VALUE"""),135)</f>
        <v>135</v>
      </c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2.75" x14ac:dyDescent="0.2">
      <c r="A223" s="61" t="str">
        <f ca="1">IFERROR(__xludf.DUMMYFUNCTION("""COMPUTED_VALUE"""),"Ulmus americana 'Princeton'")</f>
        <v>Ulmus americana 'Princeton'</v>
      </c>
      <c r="B223" s="61">
        <f ca="1">IFERROR(__xludf.DUMMYFUNCTION("""COMPUTED_VALUE"""),15)</f>
        <v>15</v>
      </c>
      <c r="C223" s="61" t="str">
        <f ca="1">IFERROR(__xludf.DUMMYFUNCTION("""COMPUTED_VALUE"""),"Princeton Elm")</f>
        <v>Princeton Elm</v>
      </c>
      <c r="D223" s="61" t="str">
        <f ca="1">IFERROR(__xludf.DUMMYFUNCTION("""COMPUTED_VALUE"""),"#15")</f>
        <v>#15</v>
      </c>
      <c r="E223" s="61" t="str">
        <f ca="1">IFERROR(__xludf.DUMMYFUNCTION("""COMPUTED_VALUE"""),"1.75-2""")</f>
        <v>1.75-2"</v>
      </c>
      <c r="F223" s="61" t="str">
        <f ca="1">IFERROR(__xludf.DUMMYFUNCTION("""COMPUTED_VALUE"""),"13-14'")</f>
        <v>13-14'</v>
      </c>
      <c r="G223" s="62">
        <f ca="1">IFERROR(__xludf.DUMMYFUNCTION("""COMPUTED_VALUE"""),2)</f>
        <v>2</v>
      </c>
      <c r="H223" s="63">
        <f ca="1">IFERROR(__xludf.DUMMYFUNCTION("""COMPUTED_VALUE"""),135)</f>
        <v>135</v>
      </c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2.75" x14ac:dyDescent="0.2">
      <c r="A224" s="61" t="str">
        <f ca="1">IFERROR(__xludf.DUMMYFUNCTION("""COMPUTED_VALUE"""),"Ulmus americana 'Valley Forge'")</f>
        <v>Ulmus americana 'Valley Forge'</v>
      </c>
      <c r="B224" s="61">
        <f ca="1">IFERROR(__xludf.DUMMYFUNCTION("""COMPUTED_VALUE"""),15)</f>
        <v>15</v>
      </c>
      <c r="C224" s="61" t="str">
        <f ca="1">IFERROR(__xludf.DUMMYFUNCTION("""COMPUTED_VALUE"""),"Valley Forge Elm")</f>
        <v>Valley Forge Elm</v>
      </c>
      <c r="D224" s="61" t="str">
        <f ca="1">IFERROR(__xludf.DUMMYFUNCTION("""COMPUTED_VALUE"""),"#15")</f>
        <v>#15</v>
      </c>
      <c r="E224" s="61" t="str">
        <f ca="1">IFERROR(__xludf.DUMMYFUNCTION("""COMPUTED_VALUE"""),"1-1.25""")</f>
        <v>1-1.25"</v>
      </c>
      <c r="F224" s="61" t="str">
        <f ca="1">IFERROR(__xludf.DUMMYFUNCTION("""COMPUTED_VALUE"""),"10-12'")</f>
        <v>10-12'</v>
      </c>
      <c r="G224" s="62">
        <f ca="1">IFERROR(__xludf.DUMMYFUNCTION("""COMPUTED_VALUE"""),1)</f>
        <v>1</v>
      </c>
      <c r="H224" s="63">
        <f ca="1">IFERROR(__xludf.DUMMYFUNCTION("""COMPUTED_VALUE"""),135)</f>
        <v>135</v>
      </c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2.75" x14ac:dyDescent="0.2">
      <c r="A225" s="61" t="str">
        <f ca="1">IFERROR(__xludf.DUMMYFUNCTION("""COMPUTED_VALUE"""),"Viburnum dentatum")</f>
        <v>Viburnum dentatum</v>
      </c>
      <c r="B225" s="61">
        <f ca="1">IFERROR(__xludf.DUMMYFUNCTION("""COMPUTED_VALUE"""),5)</f>
        <v>5</v>
      </c>
      <c r="C225" s="61" t="str">
        <f ca="1">IFERROR(__xludf.DUMMYFUNCTION("""COMPUTED_VALUE"""),"Arrowwood Viburnum")</f>
        <v>Arrowwood Viburnum</v>
      </c>
      <c r="D225" s="61" t="str">
        <f ca="1">IFERROR(__xludf.DUMMYFUNCTION("""COMPUTED_VALUE"""),"#5")</f>
        <v>#5</v>
      </c>
      <c r="E225" s="61" t="str">
        <f ca="1">IFERROR(__xludf.DUMMYFUNCTION("""COMPUTED_VALUE"""),"Multi")</f>
        <v>Multi</v>
      </c>
      <c r="F225" s="61" t="str">
        <f ca="1">IFERROR(__xludf.DUMMYFUNCTION("""COMPUTED_VALUE"""),"2-5'")</f>
        <v>2-5'</v>
      </c>
      <c r="G225" s="62">
        <f ca="1">IFERROR(__xludf.DUMMYFUNCTION("""COMPUTED_VALUE"""),36)</f>
        <v>36</v>
      </c>
      <c r="H225" s="63">
        <f ca="1">IFERROR(__xludf.DUMMYFUNCTION("""COMPUTED_VALUE"""),37)</f>
        <v>37</v>
      </c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2.75" x14ac:dyDescent="0.2">
      <c r="A226" s="61" t="str">
        <f ca="1">IFERROR(__xludf.DUMMYFUNCTION("""COMPUTED_VALUE"""),"Viburnum trilobum")</f>
        <v>Viburnum trilobum</v>
      </c>
      <c r="B226" s="61">
        <f ca="1">IFERROR(__xludf.DUMMYFUNCTION("""COMPUTED_VALUE"""),3)</f>
        <v>3</v>
      </c>
      <c r="C226" s="61" t="str">
        <f ca="1">IFERROR(__xludf.DUMMYFUNCTION("""COMPUTED_VALUE"""),"Cranberry Viburnum")</f>
        <v>Cranberry Viburnum</v>
      </c>
      <c r="D226" s="61" t="str">
        <f ca="1">IFERROR(__xludf.DUMMYFUNCTION("""COMPUTED_VALUE"""),"#5")</f>
        <v>#5</v>
      </c>
      <c r="E226" s="61" t="str">
        <f ca="1">IFERROR(__xludf.DUMMYFUNCTION("""COMPUTED_VALUE"""),"Multi")</f>
        <v>Multi</v>
      </c>
      <c r="F226" s="61" t="str">
        <f ca="1">IFERROR(__xludf.DUMMYFUNCTION("""COMPUTED_VALUE"""),"2-4'")</f>
        <v>2-4'</v>
      </c>
      <c r="G226" s="62">
        <f ca="1">IFERROR(__xludf.DUMMYFUNCTION("""COMPUTED_VALUE"""),75)</f>
        <v>75</v>
      </c>
      <c r="H226" s="63">
        <f ca="1">IFERROR(__xludf.DUMMYFUNCTION("""COMPUTED_VALUE"""),37)</f>
        <v>37</v>
      </c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2.75" x14ac:dyDescent="0.2">
      <c r="A227" s="61" t="str">
        <f ca="1">IFERROR(__xludf.DUMMYFUNCTION("""COMPUTED_VALUE"""),"X Gordlinia grandiflora")</f>
        <v>X Gordlinia grandiflora</v>
      </c>
      <c r="B227" s="61">
        <f ca="1">IFERROR(__xludf.DUMMYFUNCTION("""COMPUTED_VALUE"""),5)</f>
        <v>5</v>
      </c>
      <c r="C227" s="61" t="str">
        <f ca="1">IFERROR(__xludf.DUMMYFUNCTION("""COMPUTED_VALUE"""),"Gordlinia")</f>
        <v>Gordlinia</v>
      </c>
      <c r="D227" s="61" t="str">
        <f ca="1">IFERROR(__xludf.DUMMYFUNCTION("""COMPUTED_VALUE"""),"#5")</f>
        <v>#5</v>
      </c>
      <c r="E227" s="61" t="str">
        <f ca="1">IFERROR(__xludf.DUMMYFUNCTION("""COMPUTED_VALUE"""),"0.25-1""")</f>
        <v>0.25-1"</v>
      </c>
      <c r="F227" s="61" t="str">
        <f ca="1">IFERROR(__xludf.DUMMYFUNCTION("""COMPUTED_VALUE"""),"2-6.5'")</f>
        <v>2-6.5'</v>
      </c>
      <c r="G227" s="62">
        <f ca="1">IFERROR(__xludf.DUMMYFUNCTION("""COMPUTED_VALUE"""),1)</f>
        <v>1</v>
      </c>
      <c r="H227" s="63">
        <f ca="1">IFERROR(__xludf.DUMMYFUNCTION("""COMPUTED_VALUE"""),70)</f>
        <v>70</v>
      </c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2.75" x14ac:dyDescent="0.2">
      <c r="A228" s="61" t="str">
        <f ca="1">IFERROR(__xludf.DUMMYFUNCTION("""COMPUTED_VALUE"""),"X Gordlinia grandiflora")</f>
        <v>X Gordlinia grandiflora</v>
      </c>
      <c r="B228" s="61">
        <f ca="1">IFERROR(__xludf.DUMMYFUNCTION("""COMPUTED_VALUE"""),5)</f>
        <v>5</v>
      </c>
      <c r="C228" s="61" t="str">
        <f ca="1">IFERROR(__xludf.DUMMYFUNCTION("""COMPUTED_VALUE"""),"Gordlinia")</f>
        <v>Gordlinia</v>
      </c>
      <c r="D228" s="61" t="str">
        <f ca="1">IFERROR(__xludf.DUMMYFUNCTION("""COMPUTED_VALUE"""),"#5")</f>
        <v>#5</v>
      </c>
      <c r="E228" s="61" t="str">
        <f ca="1">IFERROR(__xludf.DUMMYFUNCTION("""COMPUTED_VALUE"""),"Multi")</f>
        <v>Multi</v>
      </c>
      <c r="F228" s="61" t="str">
        <f ca="1">IFERROR(__xludf.DUMMYFUNCTION("""COMPUTED_VALUE"""),"2-6.5'")</f>
        <v>2-6.5'</v>
      </c>
      <c r="G228" s="62">
        <f ca="1">IFERROR(__xludf.DUMMYFUNCTION("""COMPUTED_VALUE"""),3)</f>
        <v>3</v>
      </c>
      <c r="H228" s="63">
        <f ca="1">IFERROR(__xludf.DUMMYFUNCTION("""COMPUTED_VALUE"""),70)</f>
        <v>70</v>
      </c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2.75" x14ac:dyDescent="0.2">
      <c r="A229" s="61" t="str">
        <f ca="1">IFERROR(__xludf.DUMMYFUNCTION("""COMPUTED_VALUE"""),"Zelkova serrata 'Green Vase'")</f>
        <v>Zelkova serrata 'Green Vase'</v>
      </c>
      <c r="B229" s="61">
        <f ca="1">IFERROR(__xludf.DUMMYFUNCTION("""COMPUTED_VALUE"""),15)</f>
        <v>15</v>
      </c>
      <c r="C229" s="61" t="str">
        <f ca="1">IFERROR(__xludf.DUMMYFUNCTION("""COMPUTED_VALUE"""),"Green Vase Zelkova")</f>
        <v>Green Vase Zelkova</v>
      </c>
      <c r="D229" s="61" t="str">
        <f ca="1">IFERROR(__xludf.DUMMYFUNCTION("""COMPUTED_VALUE"""),"#15")</f>
        <v>#15</v>
      </c>
      <c r="E229" s="61" t="str">
        <f ca="1">IFERROR(__xludf.DUMMYFUNCTION("""COMPUTED_VALUE"""),"1.25-2.25""")</f>
        <v>1.25-2.25"</v>
      </c>
      <c r="F229" s="61" t="str">
        <f ca="1">IFERROR(__xludf.DUMMYFUNCTION("""COMPUTED_VALUE"""),"11-15'")</f>
        <v>11-15'</v>
      </c>
      <c r="G229" s="62">
        <f ca="1">IFERROR(__xludf.DUMMYFUNCTION("""COMPUTED_VALUE"""),5)</f>
        <v>5</v>
      </c>
      <c r="H229" s="63">
        <f ca="1">IFERROR(__xludf.DUMMYFUNCTION("""COMPUTED_VALUE"""),135)</f>
        <v>135</v>
      </c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2.75" x14ac:dyDescent="0.2">
      <c r="A230" s="61" t="str">
        <f ca="1">IFERROR(__xludf.DUMMYFUNCTION("""COMPUTED_VALUE"""),"Zelkova serrata 'Village Green'")</f>
        <v>Zelkova serrata 'Village Green'</v>
      </c>
      <c r="B230" s="61">
        <f ca="1">IFERROR(__xludf.DUMMYFUNCTION("""COMPUTED_VALUE"""),10)</f>
        <v>10</v>
      </c>
      <c r="C230" s="61" t="str">
        <f ca="1">IFERROR(__xludf.DUMMYFUNCTION("""COMPUTED_VALUE"""),"Village Green Zelkova")</f>
        <v>Village Green Zelkova</v>
      </c>
      <c r="D230" s="61" t="str">
        <f ca="1">IFERROR(__xludf.DUMMYFUNCTION("""COMPUTED_VALUE"""),"#10")</f>
        <v>#10</v>
      </c>
      <c r="E230" s="61" t="str">
        <f ca="1">IFERROR(__xludf.DUMMYFUNCTION("""COMPUTED_VALUE"""),"1.75-2""")</f>
        <v>1.75-2"</v>
      </c>
      <c r="F230" s="61" t="str">
        <f ca="1">IFERROR(__xludf.DUMMYFUNCTION("""COMPUTED_VALUE"""),"7-8'")</f>
        <v>7-8'</v>
      </c>
      <c r="G230" s="62">
        <f ca="1">IFERROR(__xludf.DUMMYFUNCTION("""COMPUTED_VALUE"""),2)</f>
        <v>2</v>
      </c>
      <c r="H230" s="63">
        <f ca="1">IFERROR(__xludf.DUMMYFUNCTION("""COMPUTED_VALUE"""),100)</f>
        <v>100</v>
      </c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2.75" x14ac:dyDescent="0.2">
      <c r="A231" s="61" t="str">
        <f ca="1">IFERROR(__xludf.DUMMYFUNCTION("""COMPUTED_VALUE"""),"Zelkova serrata 'Village Green'")</f>
        <v>Zelkova serrata 'Village Green'</v>
      </c>
      <c r="B231" s="61">
        <f ca="1">IFERROR(__xludf.DUMMYFUNCTION("""COMPUTED_VALUE"""),15)</f>
        <v>15</v>
      </c>
      <c r="C231" s="61" t="str">
        <f ca="1">IFERROR(__xludf.DUMMYFUNCTION("""COMPUTED_VALUE"""),"Village Green Zelkova")</f>
        <v>Village Green Zelkova</v>
      </c>
      <c r="D231" s="61" t="str">
        <f ca="1">IFERROR(__xludf.DUMMYFUNCTION("""COMPUTED_VALUE"""),"#15")</f>
        <v>#15</v>
      </c>
      <c r="E231" s="61" t="str">
        <f ca="1">IFERROR(__xludf.DUMMYFUNCTION("""COMPUTED_VALUE"""),"2-2""")</f>
        <v>2-2"</v>
      </c>
      <c r="F231" s="61" t="str">
        <f ca="1">IFERROR(__xludf.DUMMYFUNCTION("""COMPUTED_VALUE"""),"11-11'")</f>
        <v>11-11'</v>
      </c>
      <c r="G231" s="62">
        <f ca="1">IFERROR(__xludf.DUMMYFUNCTION("""COMPUTED_VALUE"""),1)</f>
        <v>1</v>
      </c>
      <c r="H231" s="63">
        <f ca="1">IFERROR(__xludf.DUMMYFUNCTION("""COMPUTED_VALUE"""),135)</f>
        <v>135</v>
      </c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2.75" x14ac:dyDescent="0.2">
      <c r="A232" s="61" t="str">
        <f ca="1">IFERROR(__xludf.DUMMYFUNCTION("""COMPUTED_VALUE"""),"zx - 1.5""x1.5""x6' Stakes")</f>
        <v>zx - 1.5"x1.5"x6' Stakes</v>
      </c>
      <c r="B232" s="61"/>
      <c r="C232" s="61" t="str">
        <f ca="1">IFERROR(__xludf.DUMMYFUNCTION("""COMPUTED_VALUE"""),"zx - 1.5""x1.5""x6' Stakes")</f>
        <v>zx - 1.5"x1.5"x6' Stakes</v>
      </c>
      <c r="D232" s="61"/>
      <c r="E232" s="61" t="str">
        <f ca="1">IFERROR(__xludf.DUMMYFUNCTION("""COMPUTED_VALUE"""),"0-0""")</f>
        <v>0-0"</v>
      </c>
      <c r="F232" s="61" t="str">
        <f ca="1">IFERROR(__xludf.DUMMYFUNCTION("""COMPUTED_VALUE"""),"0-0'")</f>
        <v>0-0'</v>
      </c>
      <c r="G232" s="62">
        <f ca="1">IFERROR(__xludf.DUMMYFUNCTION("""COMPUTED_VALUE"""),2408)</f>
        <v>2408</v>
      </c>
      <c r="H232" s="63">
        <f ca="1">IFERROR(__xludf.DUMMYFUNCTION("""COMPUTED_VALUE"""),3)</f>
        <v>3</v>
      </c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2.75" x14ac:dyDescent="0.2">
      <c r="A233" s="61" t="str">
        <f ca="1">IFERROR(__xludf.DUMMYFUNCTION("""COMPUTED_VALUE"""),"zx - 4' Bark Protector")</f>
        <v>zx - 4' Bark Protector</v>
      </c>
      <c r="B233" s="61"/>
      <c r="C233" s="61" t="str">
        <f ca="1">IFERROR(__xludf.DUMMYFUNCTION("""COMPUTED_VALUE"""),"zx - 4' Bark Protector")</f>
        <v>zx - 4' Bark Protector</v>
      </c>
      <c r="D233" s="61"/>
      <c r="E233" s="61" t="str">
        <f ca="1">IFERROR(__xludf.DUMMYFUNCTION("""COMPUTED_VALUE"""),"0-0""")</f>
        <v>0-0"</v>
      </c>
      <c r="F233" s="61" t="str">
        <f ca="1">IFERROR(__xludf.DUMMYFUNCTION("""COMPUTED_VALUE"""),"0-0'")</f>
        <v>0-0'</v>
      </c>
      <c r="G233" s="62">
        <f ca="1">IFERROR(__xludf.DUMMYFUNCTION("""COMPUTED_VALUE"""),745)</f>
        <v>745</v>
      </c>
      <c r="H233" s="63">
        <f ca="1">IFERROR(__xludf.DUMMYFUNCTION("""COMPUTED_VALUE"""),10)</f>
        <v>10</v>
      </c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2.75" x14ac:dyDescent="0.2">
      <c r="A234" s="61" t="str">
        <f ca="1">IFERROR(__xludf.DUMMYFUNCTION("""COMPUTED_VALUE"""),"zx - Felco #2 Pruners")</f>
        <v>zx - Felco #2 Pruners</v>
      </c>
      <c r="B234" s="61"/>
      <c r="C234" s="61" t="str">
        <f ca="1">IFERROR(__xludf.DUMMYFUNCTION("""COMPUTED_VALUE"""),"zx - Felco #2 Pruners")</f>
        <v>zx - Felco #2 Pruners</v>
      </c>
      <c r="D234" s="61"/>
      <c r="E234" s="61" t="str">
        <f ca="1">IFERROR(__xludf.DUMMYFUNCTION("""COMPUTED_VALUE"""),"0-0""")</f>
        <v>0-0"</v>
      </c>
      <c r="F234" s="61" t="str">
        <f ca="1">IFERROR(__xludf.DUMMYFUNCTION("""COMPUTED_VALUE"""),"0-0'")</f>
        <v>0-0'</v>
      </c>
      <c r="G234" s="62">
        <f ca="1">IFERROR(__xludf.DUMMYFUNCTION("""COMPUTED_VALUE"""),49)</f>
        <v>49</v>
      </c>
      <c r="H234" s="63">
        <f ca="1">IFERROR(__xludf.DUMMYFUNCTION("""COMPUTED_VALUE"""),65)</f>
        <v>65</v>
      </c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2.75" x14ac:dyDescent="0.2">
      <c r="A235" s="61" t="str">
        <f ca="1">IFERROR(__xludf.DUMMYFUNCTION("""COMPUTED_VALUE"""),"zx - Shade Tarp")</f>
        <v>zx - Shade Tarp</v>
      </c>
      <c r="B235" s="61"/>
      <c r="C235" s="61" t="str">
        <f ca="1">IFERROR(__xludf.DUMMYFUNCTION("""COMPUTED_VALUE"""),"zx -Shade Tarp")</f>
        <v>zx -Shade Tarp</v>
      </c>
      <c r="D235" s="61"/>
      <c r="E235" s="61" t="str">
        <f ca="1">IFERROR(__xludf.DUMMYFUNCTION("""COMPUTED_VALUE"""),"0-0""")</f>
        <v>0-0"</v>
      </c>
      <c r="F235" s="61" t="str">
        <f ca="1">IFERROR(__xludf.DUMMYFUNCTION("""COMPUTED_VALUE"""),"0-0'")</f>
        <v>0-0'</v>
      </c>
      <c r="G235" s="62">
        <f ca="1">IFERROR(__xludf.DUMMYFUNCTION("""COMPUTED_VALUE"""),49)</f>
        <v>49</v>
      </c>
      <c r="H235" s="63">
        <f ca="1">IFERROR(__xludf.DUMMYFUNCTION("""COMPUTED_VALUE"""),30)</f>
        <v>30</v>
      </c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2.75" x14ac:dyDescent="0.2">
      <c r="A236" s="61" t="str">
        <f ca="1">IFERROR(__xludf.DUMMYFUNCTION("""COMPUTED_VALUE"""),"zx - Tree Diaper (for #10-#25)")</f>
        <v>zx - Tree Diaper (for #10-#25)</v>
      </c>
      <c r="B236" s="61" t="str">
        <f ca="1">IFERROR(__xludf.DUMMYFUNCTION("""COMPUTED_VALUE"""),"")</f>
        <v/>
      </c>
      <c r="C236" s="61" t="str">
        <f ca="1">IFERROR(__xludf.DUMMYFUNCTION("""COMPUTED_VALUE"""),"zx - Tree Diaper (for #10-#25)")</f>
        <v>zx - Tree Diaper (for #10-#25)</v>
      </c>
      <c r="D236" s="61"/>
      <c r="E236" s="61" t="str">
        <f ca="1">IFERROR(__xludf.DUMMYFUNCTION("""COMPUTED_VALUE"""),"0-0""")</f>
        <v>0-0"</v>
      </c>
      <c r="F236" s="61" t="str">
        <f ca="1">IFERROR(__xludf.DUMMYFUNCTION("""COMPUTED_VALUE"""),"0-0'")</f>
        <v>0-0'</v>
      </c>
      <c r="G236" s="62">
        <f ca="1">IFERROR(__xludf.DUMMYFUNCTION("""COMPUTED_VALUE"""),91)</f>
        <v>91</v>
      </c>
      <c r="H236" s="63">
        <f ca="1">IFERROR(__xludf.DUMMYFUNCTION("""COMPUTED_VALUE"""),40)</f>
        <v>40</v>
      </c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2.75" x14ac:dyDescent="0.2">
      <c r="A237" s="61" t="str">
        <f ca="1">IFERROR(__xludf.DUMMYFUNCTION("""COMPUTED_VALUE"""),"zx -Cages")</f>
        <v>zx -Cages</v>
      </c>
      <c r="B237" s="61"/>
      <c r="C237" s="61" t="str">
        <f ca="1">IFERROR(__xludf.DUMMYFUNCTION("""COMPUTED_VALUE"""),"zx -Cages")</f>
        <v>zx -Cages</v>
      </c>
      <c r="D237" s="61"/>
      <c r="E237" s="61" t="str">
        <f ca="1">IFERROR(__xludf.DUMMYFUNCTION("""COMPUTED_VALUE"""),"0-0""")</f>
        <v>0-0"</v>
      </c>
      <c r="F237" s="61" t="str">
        <f ca="1">IFERROR(__xludf.DUMMYFUNCTION("""COMPUTED_VALUE"""),"0-0'")</f>
        <v>0-0'</v>
      </c>
      <c r="G237" s="62">
        <f ca="1">IFERROR(__xludf.DUMMYFUNCTION("""COMPUTED_VALUE"""),934)</f>
        <v>934</v>
      </c>
      <c r="H237" s="63">
        <f ca="1">IFERROR(__xludf.DUMMYFUNCTION("""COMPUTED_VALUE"""),45)</f>
        <v>45</v>
      </c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2.75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2.75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2.75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2.75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2.75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2.75" x14ac:dyDescent="0.2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2.75" x14ac:dyDescent="0.2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2.75" x14ac:dyDescent="0.2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2.75" x14ac:dyDescent="0.2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2.75" x14ac:dyDescent="0.2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2.75" x14ac:dyDescent="0.2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2.75" x14ac:dyDescent="0.2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2.75" x14ac:dyDescent="0.2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2.75" x14ac:dyDescent="0.2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2.75" x14ac:dyDescent="0.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2.75" x14ac:dyDescent="0.2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2.75" x14ac:dyDescent="0.2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2.75" x14ac:dyDescent="0.2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2.75" x14ac:dyDescent="0.2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2.75" x14ac:dyDescent="0.2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2.75" x14ac:dyDescent="0.2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2.75" x14ac:dyDescent="0.2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2.75" x14ac:dyDescent="0.2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2.75" x14ac:dyDescent="0.2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2.75" x14ac:dyDescent="0.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2.75" x14ac:dyDescent="0.2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2.75" x14ac:dyDescent="0.2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2.75" x14ac:dyDescent="0.2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2.75" x14ac:dyDescent="0.2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1876"/>
  <sheetViews>
    <sheetView workbookViewId="0">
      <selection activeCell="A2" sqref="A2"/>
    </sheetView>
  </sheetViews>
  <sheetFormatPr defaultColWidth="12.5703125" defaultRowHeight="15.75" customHeight="1" x14ac:dyDescent="0.2"/>
  <cols>
    <col min="1" max="1" width="38.7109375" customWidth="1"/>
    <col min="2" max="2" width="28.85546875" customWidth="1"/>
    <col min="3" max="3" width="9.42578125" customWidth="1"/>
    <col min="4" max="4" width="8.42578125" customWidth="1"/>
    <col min="5" max="5" width="8.140625" customWidth="1"/>
    <col min="6" max="6" width="8" customWidth="1"/>
    <col min="7" max="7" width="9.42578125" customWidth="1"/>
    <col min="8" max="8" width="12.5703125" hidden="1"/>
  </cols>
  <sheetData>
    <row r="1" spans="1:8" ht="18" x14ac:dyDescent="0.25">
      <c r="A1" s="83" t="s">
        <v>1</v>
      </c>
      <c r="B1" s="80"/>
      <c r="D1" s="72"/>
      <c r="E1" s="72"/>
      <c r="F1" s="72"/>
      <c r="G1" s="72"/>
      <c r="H1" s="14"/>
    </row>
    <row r="2" spans="1:8" x14ac:dyDescent="0.25">
      <c r="A2" s="73" t="s">
        <v>29</v>
      </c>
      <c r="B2" s="84"/>
      <c r="C2" s="80"/>
      <c r="D2" s="85"/>
      <c r="E2" s="80"/>
      <c r="F2" s="80"/>
      <c r="G2" s="80"/>
      <c r="H2" s="14"/>
    </row>
    <row r="3" spans="1:8" x14ac:dyDescent="0.25">
      <c r="A3" s="74" t="s">
        <v>30</v>
      </c>
      <c r="B3" s="80"/>
      <c r="C3" s="80"/>
      <c r="D3" s="80"/>
      <c r="E3" s="80"/>
      <c r="F3" s="80"/>
      <c r="G3" s="80"/>
      <c r="H3" s="14"/>
    </row>
    <row r="4" spans="1:8" ht="45" x14ac:dyDescent="0.6">
      <c r="A4" s="40" t="s">
        <v>15</v>
      </c>
      <c r="B4" s="41"/>
      <c r="D4" s="75"/>
      <c r="E4" s="76" t="s">
        <v>16</v>
      </c>
      <c r="F4" s="72"/>
      <c r="G4" s="72"/>
      <c r="H4" s="14"/>
    </row>
    <row r="5" spans="1:8" ht="12.75" x14ac:dyDescent="0.2">
      <c r="A5" s="47" t="str">
        <f ca="1">'Fruit Trees'!A1</f>
        <v>Common Name</v>
      </c>
      <c r="B5" s="47" t="str">
        <f ca="1">'Fruit Trees'!C1</f>
        <v>Pot Size</v>
      </c>
      <c r="C5" s="47" t="str">
        <f ca="1">'Fruit Trees'!D1</f>
        <v xml:space="preserve">Caliper </v>
      </c>
      <c r="D5" s="47" t="str">
        <f ca="1">'Fruit Trees'!E1</f>
        <v xml:space="preserve">Height </v>
      </c>
      <c r="E5" s="47" t="str">
        <f ca="1">'Fruit Trees'!F1</f>
        <v>Quantity</v>
      </c>
      <c r="F5" s="47" t="str">
        <f ca="1">'Fruit Trees'!G1</f>
        <v>Price</v>
      </c>
      <c r="G5" s="48"/>
      <c r="H5" s="47"/>
    </row>
    <row r="6" spans="1:8" ht="12.75" x14ac:dyDescent="0.2">
      <c r="A6" s="51" t="str">
        <f ca="1">'Fruit Trees'!A2</f>
        <v>Almond - Hall's Hardy</v>
      </c>
      <c r="B6" s="51" t="str">
        <f ca="1">'Fruit Trees'!C2</f>
        <v>#7</v>
      </c>
      <c r="C6" s="51" t="str">
        <f ca="1">'Fruit Trees'!D2</f>
        <v>0.75-1.75"</v>
      </c>
      <c r="D6" s="51" t="str">
        <f ca="1">'Fruit Trees'!E2</f>
        <v>5-9'</v>
      </c>
      <c r="E6" s="64">
        <f ca="1">'Fruit Trees'!F2</f>
        <v>22</v>
      </c>
      <c r="F6" s="65">
        <f ca="1">'Fruit Trees'!G2</f>
        <v>80</v>
      </c>
    </row>
    <row r="7" spans="1:8" ht="12.75" x14ac:dyDescent="0.2">
      <c r="A7" s="51" t="str">
        <f ca="1">'Fruit Trees'!A3</f>
        <v>Almond - Hall's Hardy</v>
      </c>
      <c r="B7" s="51" t="str">
        <f ca="1">'Fruit Trees'!C3</f>
        <v>#10</v>
      </c>
      <c r="C7" s="51" t="str">
        <f ca="1">'Fruit Trees'!D3</f>
        <v>1.5-1.5"</v>
      </c>
      <c r="D7" s="51" t="str">
        <f ca="1">'Fruit Trees'!E3</f>
        <v>8-9'</v>
      </c>
      <c r="E7" s="64">
        <f ca="1">'Fruit Trees'!F3</f>
        <v>3</v>
      </c>
      <c r="F7" s="65">
        <f ca="1">'Fruit Trees'!G3</f>
        <v>100</v>
      </c>
    </row>
    <row r="8" spans="1:8" ht="12.75" x14ac:dyDescent="0.2">
      <c r="A8" s="51" t="str">
        <f ca="1">'Fruit Trees'!A4</f>
        <v>Apple - 3in1 3-Tier Espalier (Honeycrisp-Akane-Liberty)</v>
      </c>
      <c r="B8" s="51" t="str">
        <f ca="1">'Fruit Trees'!C4</f>
        <v>#10</v>
      </c>
      <c r="C8" s="51" t="str">
        <f ca="1">'Fruit Trees'!D4</f>
        <v>0.75-1"</v>
      </c>
      <c r="D8" s="51" t="str">
        <f ca="1">'Fruit Trees'!E4</f>
        <v>5-6'</v>
      </c>
      <c r="E8" s="64">
        <f ca="1">'Fruit Trees'!F4</f>
        <v>19</v>
      </c>
      <c r="F8" s="65">
        <f ca="1">'Fruit Trees'!G4</f>
        <v>180</v>
      </c>
    </row>
    <row r="9" spans="1:8" ht="12.75" x14ac:dyDescent="0.2">
      <c r="A9" s="51" t="str">
        <f ca="1">'Fruit Trees'!A5</f>
        <v>Apple - 6in1 3-Tier Espalier (Fuji-Gala-Liberty-Honeycrisp-Granny Smith-Yellow Delicious)</v>
      </c>
      <c r="B9" s="51" t="str">
        <f ca="1">'Fruit Trees'!C5</f>
        <v>#10</v>
      </c>
      <c r="C9" s="51" t="str">
        <f ca="1">'Fruit Trees'!D5</f>
        <v>0.75-1"</v>
      </c>
      <c r="D9" s="51" t="str">
        <f ca="1">'Fruit Trees'!E5</f>
        <v>4.5-5'</v>
      </c>
      <c r="E9" s="64">
        <f ca="1">'Fruit Trees'!F5</f>
        <v>11</v>
      </c>
      <c r="F9" s="65">
        <f ca="1">'Fruit Trees'!G5</f>
        <v>180</v>
      </c>
    </row>
    <row r="10" spans="1:8" ht="12.75" x14ac:dyDescent="0.2">
      <c r="A10" s="51" t="str">
        <f ca="1">'Fruit Trees'!A6</f>
        <v>Apple - Ambrosia</v>
      </c>
      <c r="B10" s="51" t="str">
        <f ca="1">'Fruit Trees'!C6</f>
        <v>#5</v>
      </c>
      <c r="C10" s="51" t="str">
        <f ca="1">'Fruit Trees'!D6</f>
        <v>1-1.5"</v>
      </c>
      <c r="D10" s="51" t="str">
        <f ca="1">'Fruit Trees'!E6</f>
        <v>7-10'</v>
      </c>
      <c r="E10" s="64">
        <f ca="1">'Fruit Trees'!F6</f>
        <v>138</v>
      </c>
      <c r="F10" s="65">
        <f ca="1">'Fruit Trees'!G6</f>
        <v>55</v>
      </c>
    </row>
    <row r="11" spans="1:8" ht="12.75" x14ac:dyDescent="0.2">
      <c r="A11" s="51" t="str">
        <f ca="1">'Fruit Trees'!A7</f>
        <v>Apple - Arkansas Black</v>
      </c>
      <c r="B11" s="51" t="str">
        <f ca="1">'Fruit Trees'!C7</f>
        <v>#5</v>
      </c>
      <c r="C11" s="51" t="str">
        <f ca="1">'Fruit Trees'!D7</f>
        <v>0.75-1.25"</v>
      </c>
      <c r="D11" s="51" t="str">
        <f ca="1">'Fruit Trees'!E7</f>
        <v>4-10'</v>
      </c>
      <c r="E11" s="64">
        <f ca="1">'Fruit Trees'!F7</f>
        <v>151</v>
      </c>
      <c r="F11" s="65">
        <f ca="1">'Fruit Trees'!G7</f>
        <v>55</v>
      </c>
    </row>
    <row r="12" spans="1:8" ht="12.75" x14ac:dyDescent="0.2">
      <c r="A12" s="51" t="str">
        <f ca="1">'Fruit Trees'!A8</f>
        <v>Apple - Arkansas Black</v>
      </c>
      <c r="B12" s="51" t="str">
        <f ca="1">'Fruit Trees'!C8</f>
        <v>#10</v>
      </c>
      <c r="C12" s="51" t="str">
        <f ca="1">'Fruit Trees'!D8</f>
        <v>1-1"</v>
      </c>
      <c r="D12" s="51" t="str">
        <f ca="1">'Fruit Trees'!E8</f>
        <v>6-8'</v>
      </c>
      <c r="E12" s="64">
        <f ca="1">'Fruit Trees'!F8</f>
        <v>14</v>
      </c>
      <c r="F12" s="65">
        <f ca="1">'Fruit Trees'!G8</f>
        <v>100</v>
      </c>
    </row>
    <row r="13" spans="1:8" ht="12.75" x14ac:dyDescent="0.2">
      <c r="A13" s="51" t="str">
        <f ca="1">'Fruit Trees'!A9</f>
        <v>Apple - Baldwin</v>
      </c>
      <c r="B13" s="51" t="str">
        <f ca="1">'Fruit Trees'!C9</f>
        <v>#5</v>
      </c>
      <c r="C13" s="51" t="str">
        <f ca="1">'Fruit Trees'!D9</f>
        <v>0.75-1.25"</v>
      </c>
      <c r="D13" s="51" t="str">
        <f ca="1">'Fruit Trees'!E9</f>
        <v>8-12'</v>
      </c>
      <c r="E13" s="64">
        <f ca="1">'Fruit Trees'!F9</f>
        <v>70</v>
      </c>
      <c r="F13" s="65">
        <f ca="1">'Fruit Trees'!G9</f>
        <v>55</v>
      </c>
    </row>
    <row r="14" spans="1:8" ht="12.75" x14ac:dyDescent="0.2">
      <c r="A14" s="51" t="str">
        <f ca="1">'Fruit Trees'!A10</f>
        <v>Apple - Cortland</v>
      </c>
      <c r="B14" s="51" t="str">
        <f ca="1">'Fruit Trees'!C10</f>
        <v>#5</v>
      </c>
      <c r="C14" s="51" t="str">
        <f ca="1">'Fruit Trees'!D10</f>
        <v>0.5-1"</v>
      </c>
      <c r="D14" s="51" t="str">
        <f ca="1">'Fruit Trees'!E10</f>
        <v>5-7'</v>
      </c>
      <c r="E14" s="64">
        <f ca="1">'Fruit Trees'!F10</f>
        <v>53</v>
      </c>
      <c r="F14" s="65">
        <f ca="1">'Fruit Trees'!G10</f>
        <v>55</v>
      </c>
    </row>
    <row r="15" spans="1:8" ht="12.75" x14ac:dyDescent="0.2">
      <c r="A15" s="51" t="str">
        <f ca="1">'Fruit Trees'!A11</f>
        <v>Apple - Crimson Crisp</v>
      </c>
      <c r="B15" s="51" t="str">
        <f ca="1">'Fruit Trees'!C11</f>
        <v>#5</v>
      </c>
      <c r="C15" s="51" t="str">
        <f ca="1">'Fruit Trees'!D11</f>
        <v>0.75-1"</v>
      </c>
      <c r="D15" s="51" t="str">
        <f ca="1">'Fruit Trees'!E11</f>
        <v>4-9'</v>
      </c>
      <c r="E15" s="64">
        <f ca="1">'Fruit Trees'!F11</f>
        <v>46</v>
      </c>
      <c r="F15" s="65">
        <f ca="1">'Fruit Trees'!G11</f>
        <v>55</v>
      </c>
    </row>
    <row r="16" spans="1:8" ht="12.75" x14ac:dyDescent="0.2">
      <c r="A16" s="51" t="str">
        <f ca="1">'Fruit Trees'!A12</f>
        <v>Apple - Crown Empire</v>
      </c>
      <c r="B16" s="51" t="str">
        <f ca="1">'Fruit Trees'!C12</f>
        <v>#5</v>
      </c>
      <c r="C16" s="51" t="str">
        <f ca="1">'Fruit Trees'!D12</f>
        <v>0.5-1.25"</v>
      </c>
      <c r="D16" s="51" t="str">
        <f ca="1">'Fruit Trees'!E12</f>
        <v>3-9'</v>
      </c>
      <c r="E16" s="64">
        <f ca="1">'Fruit Trees'!F12</f>
        <v>10</v>
      </c>
      <c r="F16" s="65">
        <f ca="1">'Fruit Trees'!G12</f>
        <v>55</v>
      </c>
    </row>
    <row r="17" spans="1:6" ht="12.75" x14ac:dyDescent="0.2">
      <c r="A17" s="51" t="str">
        <f ca="1">'Fruit Trees'!A13</f>
        <v>Apple - Enterprise</v>
      </c>
      <c r="B17" s="51" t="str">
        <f ca="1">'Fruit Trees'!C13</f>
        <v>#5</v>
      </c>
      <c r="C17" s="51" t="str">
        <f ca="1">'Fruit Trees'!D13</f>
        <v>0.5-1.25"</v>
      </c>
      <c r="D17" s="51" t="str">
        <f ca="1">'Fruit Trees'!E13</f>
        <v>5-8'</v>
      </c>
      <c r="E17" s="64">
        <f ca="1">'Fruit Trees'!F13</f>
        <v>341</v>
      </c>
      <c r="F17" s="65">
        <f ca="1">'Fruit Trees'!G13</f>
        <v>55</v>
      </c>
    </row>
    <row r="18" spans="1:6" ht="12.75" x14ac:dyDescent="0.2">
      <c r="A18" s="51" t="str">
        <f ca="1">'Fruit Trees'!A14</f>
        <v>Apple - Enterprise</v>
      </c>
      <c r="B18" s="51" t="str">
        <f ca="1">'Fruit Trees'!C14</f>
        <v>#10</v>
      </c>
      <c r="C18" s="51" t="str">
        <f ca="1">'Fruit Trees'!D14</f>
        <v>0.75-1.5"</v>
      </c>
      <c r="D18" s="51" t="str">
        <f ca="1">'Fruit Trees'!E14</f>
        <v>6-10'</v>
      </c>
      <c r="E18" s="64">
        <f ca="1">'Fruit Trees'!F14</f>
        <v>21</v>
      </c>
      <c r="F18" s="65">
        <f ca="1">'Fruit Trees'!G14</f>
        <v>100</v>
      </c>
    </row>
    <row r="19" spans="1:6" ht="12.75" x14ac:dyDescent="0.2">
      <c r="A19" s="51" t="str">
        <f ca="1">'Fruit Trees'!A15</f>
        <v>Apple - Enterprise</v>
      </c>
      <c r="B19" s="51" t="str">
        <f ca="1">'Fruit Trees'!C15</f>
        <v>#15</v>
      </c>
      <c r="C19" s="51" t="str">
        <f ca="1">'Fruit Trees'!D15</f>
        <v>1.25-1.5"</v>
      </c>
      <c r="D19" s="51" t="str">
        <f ca="1">'Fruit Trees'!E15</f>
        <v>8-9'</v>
      </c>
      <c r="E19" s="64">
        <f ca="1">'Fruit Trees'!F15</f>
        <v>17</v>
      </c>
      <c r="F19" s="65">
        <f ca="1">'Fruit Trees'!G15</f>
        <v>150</v>
      </c>
    </row>
    <row r="20" spans="1:6" ht="12.75" x14ac:dyDescent="0.2">
      <c r="A20" s="51" t="str">
        <f ca="1">'Fruit Trees'!A16</f>
        <v>Apple - Freedom</v>
      </c>
      <c r="B20" s="51" t="str">
        <f ca="1">'Fruit Trees'!C16</f>
        <v>#5</v>
      </c>
      <c r="C20" s="51" t="str">
        <f ca="1">'Fruit Trees'!D16</f>
        <v>0.5-1.25"</v>
      </c>
      <c r="D20" s="51" t="str">
        <f ca="1">'Fruit Trees'!E16</f>
        <v>6-9'</v>
      </c>
      <c r="E20" s="64">
        <f ca="1">'Fruit Trees'!F16</f>
        <v>120</v>
      </c>
      <c r="F20" s="65">
        <f ca="1">'Fruit Trees'!G16</f>
        <v>55</v>
      </c>
    </row>
    <row r="21" spans="1:6" ht="12.75" x14ac:dyDescent="0.2">
      <c r="A21" s="51" t="str">
        <f ca="1">'Fruit Trees'!A17</f>
        <v>Apple - Fuji</v>
      </c>
      <c r="B21" s="51" t="str">
        <f ca="1">'Fruit Trees'!C17</f>
        <v>#5</v>
      </c>
      <c r="C21" s="51" t="str">
        <f ca="1">'Fruit Trees'!D17</f>
        <v>0.75-1.25"</v>
      </c>
      <c r="D21" s="51" t="str">
        <f ca="1">'Fruit Trees'!E17</f>
        <v>4-11'</v>
      </c>
      <c r="E21" s="64">
        <f ca="1">'Fruit Trees'!F17</f>
        <v>130</v>
      </c>
      <c r="F21" s="65">
        <f ca="1">'Fruit Trees'!G17</f>
        <v>55</v>
      </c>
    </row>
    <row r="22" spans="1:6" ht="12.75" x14ac:dyDescent="0.2">
      <c r="A22" s="51" t="str">
        <f ca="1">'Fruit Trees'!A18</f>
        <v>Apple - Fuji</v>
      </c>
      <c r="B22" s="51" t="str">
        <f ca="1">'Fruit Trees'!C18</f>
        <v>#10</v>
      </c>
      <c r="C22" s="51" t="str">
        <f ca="1">'Fruit Trees'!D18</f>
        <v>1-1.25"</v>
      </c>
      <c r="D22" s="51" t="str">
        <f ca="1">'Fruit Trees'!E18</f>
        <v>6-7.5'</v>
      </c>
      <c r="E22" s="64">
        <f ca="1">'Fruit Trees'!F18</f>
        <v>12</v>
      </c>
      <c r="F22" s="65">
        <f ca="1">'Fruit Trees'!G18</f>
        <v>100</v>
      </c>
    </row>
    <row r="23" spans="1:6" ht="12.75" x14ac:dyDescent="0.2">
      <c r="A23" s="51" t="str">
        <f ca="1">'Fruit Trees'!A19</f>
        <v>Apple - Fuji</v>
      </c>
      <c r="B23" s="51" t="str">
        <f ca="1">'Fruit Trees'!C19</f>
        <v>#15</v>
      </c>
      <c r="C23" s="51" t="str">
        <f ca="1">'Fruit Trees'!D19</f>
        <v>1.25-1.5"</v>
      </c>
      <c r="D23" s="51" t="str">
        <f ca="1">'Fruit Trees'!E19</f>
        <v>8-9'</v>
      </c>
      <c r="E23" s="64">
        <f ca="1">'Fruit Trees'!F19</f>
        <v>7</v>
      </c>
      <c r="F23" s="65">
        <f ca="1">'Fruit Trees'!G19</f>
        <v>150</v>
      </c>
    </row>
    <row r="24" spans="1:6" ht="12.75" x14ac:dyDescent="0.2">
      <c r="A24" s="51" t="str">
        <f ca="1">'Fruit Trees'!A20</f>
        <v>Apple - Gala</v>
      </c>
      <c r="B24" s="51" t="str">
        <f ca="1">'Fruit Trees'!C20</f>
        <v>#5</v>
      </c>
      <c r="C24" s="51" t="str">
        <f ca="1">'Fruit Trees'!D20</f>
        <v>0.75-1.25"</v>
      </c>
      <c r="D24" s="51" t="str">
        <f ca="1">'Fruit Trees'!E20</f>
        <v>5-8'</v>
      </c>
      <c r="E24" s="64">
        <f ca="1">'Fruit Trees'!F20</f>
        <v>132</v>
      </c>
      <c r="F24" s="65">
        <f ca="1">'Fruit Trees'!G20</f>
        <v>55</v>
      </c>
    </row>
    <row r="25" spans="1:6" ht="12.75" x14ac:dyDescent="0.2">
      <c r="A25" s="51" t="str">
        <f ca="1">'Fruit Trees'!A21</f>
        <v>Apple - Gala</v>
      </c>
      <c r="B25" s="51" t="str">
        <f ca="1">'Fruit Trees'!C21</f>
        <v>#10</v>
      </c>
      <c r="C25" s="51" t="str">
        <f ca="1">'Fruit Trees'!D21</f>
        <v>0.75-1"</v>
      </c>
      <c r="D25" s="51" t="str">
        <f ca="1">'Fruit Trees'!E21</f>
        <v>6-8'</v>
      </c>
      <c r="E25" s="64">
        <f ca="1">'Fruit Trees'!F21</f>
        <v>3</v>
      </c>
      <c r="F25" s="65">
        <f ca="1">'Fruit Trees'!G21</f>
        <v>100</v>
      </c>
    </row>
    <row r="26" spans="1:6" ht="12.75" x14ac:dyDescent="0.2">
      <c r="A26" s="51" t="str">
        <f ca="1">'Fruit Trees'!A22</f>
        <v>Apple - Gala</v>
      </c>
      <c r="B26" s="51" t="str">
        <f ca="1">'Fruit Trees'!C22</f>
        <v>#15</v>
      </c>
      <c r="C26" s="51" t="str">
        <f ca="1">'Fruit Trees'!D22</f>
        <v>1.25-1.5"</v>
      </c>
      <c r="D26" s="51" t="str">
        <f ca="1">'Fruit Trees'!E22</f>
        <v>9-10'</v>
      </c>
      <c r="E26" s="64">
        <f ca="1">'Fruit Trees'!F22</f>
        <v>10</v>
      </c>
      <c r="F26" s="65">
        <f ca="1">'Fruit Trees'!G22</f>
        <v>150</v>
      </c>
    </row>
    <row r="27" spans="1:6" ht="12.75" x14ac:dyDescent="0.2">
      <c r="A27" s="51" t="str">
        <f ca="1">'Fruit Trees'!A23</f>
        <v>Apple - Galarina</v>
      </c>
      <c r="B27" s="51" t="str">
        <f ca="1">'Fruit Trees'!C23</f>
        <v>#5</v>
      </c>
      <c r="C27" s="51" t="str">
        <f ca="1">'Fruit Trees'!D23</f>
        <v>1-1.25"</v>
      </c>
      <c r="D27" s="51" t="str">
        <f ca="1">'Fruit Trees'!E23</f>
        <v>8.5-12'</v>
      </c>
      <c r="E27" s="64">
        <f ca="1">'Fruit Trees'!F23</f>
        <v>84</v>
      </c>
      <c r="F27" s="65">
        <f ca="1">'Fruit Trees'!G23</f>
        <v>55</v>
      </c>
    </row>
    <row r="28" spans="1:6" ht="12.75" x14ac:dyDescent="0.2">
      <c r="A28" s="51" t="str">
        <f ca="1">'Fruit Trees'!A24</f>
        <v>Apple - Gold Rush</v>
      </c>
      <c r="B28" s="51" t="str">
        <f ca="1">'Fruit Trees'!C24</f>
        <v>#5</v>
      </c>
      <c r="C28" s="51" t="str">
        <f ca="1">'Fruit Trees'!D24</f>
        <v>0.75-1"</v>
      </c>
      <c r="D28" s="51" t="str">
        <f ca="1">'Fruit Trees'!E24</f>
        <v>7.5-8.5'</v>
      </c>
      <c r="E28" s="64">
        <f ca="1">'Fruit Trees'!F24</f>
        <v>52</v>
      </c>
      <c r="F28" s="65">
        <f ca="1">'Fruit Trees'!G24</f>
        <v>55</v>
      </c>
    </row>
    <row r="29" spans="1:6" ht="12.75" x14ac:dyDescent="0.2">
      <c r="A29" s="51" t="str">
        <f ca="1">'Fruit Trees'!A25</f>
        <v>Apple - Granny Smith</v>
      </c>
      <c r="B29" s="51" t="str">
        <f ca="1">'Fruit Trees'!C25</f>
        <v>#5</v>
      </c>
      <c r="C29" s="51" t="str">
        <f ca="1">'Fruit Trees'!D25</f>
        <v>0.5-1.25"</v>
      </c>
      <c r="D29" s="51" t="str">
        <f ca="1">'Fruit Trees'!E25</f>
        <v>6-10'</v>
      </c>
      <c r="E29" s="64">
        <f ca="1">'Fruit Trees'!F25</f>
        <v>60</v>
      </c>
      <c r="F29" s="65">
        <f ca="1">'Fruit Trees'!G25</f>
        <v>55</v>
      </c>
    </row>
    <row r="30" spans="1:6" ht="12.75" x14ac:dyDescent="0.2">
      <c r="A30" s="51" t="str">
        <f ca="1">'Fruit Trees'!A26</f>
        <v>Apple - Granny Smith</v>
      </c>
      <c r="B30" s="51" t="str">
        <f ca="1">'Fruit Trees'!C26</f>
        <v>#15</v>
      </c>
      <c r="C30" s="51" t="str">
        <f ca="1">'Fruit Trees'!D26</f>
        <v>1-1.25"</v>
      </c>
      <c r="D30" s="51" t="str">
        <f ca="1">'Fruit Trees'!E26</f>
        <v>9-11'</v>
      </c>
      <c r="E30" s="64">
        <f ca="1">'Fruit Trees'!F26</f>
        <v>7</v>
      </c>
      <c r="F30" s="65">
        <f ca="1">'Fruit Trees'!G26</f>
        <v>150</v>
      </c>
    </row>
    <row r="31" spans="1:6" ht="12.75" x14ac:dyDescent="0.2">
      <c r="A31" s="51" t="str">
        <f ca="1">'Fruit Trees'!A27</f>
        <v>Apple - Honeycrisp</v>
      </c>
      <c r="B31" s="51" t="str">
        <f ca="1">'Fruit Trees'!C27</f>
        <v>#5</v>
      </c>
      <c r="C31" s="51" t="str">
        <f ca="1">'Fruit Trees'!D27</f>
        <v>0.5-1"</v>
      </c>
      <c r="D31" s="51" t="str">
        <f ca="1">'Fruit Trees'!E27</f>
        <v>6.5-9'</v>
      </c>
      <c r="E31" s="64">
        <f ca="1">'Fruit Trees'!F27</f>
        <v>15</v>
      </c>
      <c r="F31" s="65">
        <f ca="1">'Fruit Trees'!G27</f>
        <v>55</v>
      </c>
    </row>
    <row r="32" spans="1:6" ht="12.75" x14ac:dyDescent="0.2">
      <c r="A32" s="51" t="str">
        <f ca="1">'Fruit Trees'!A28</f>
        <v>Apple - Honeycrisp</v>
      </c>
      <c r="B32" s="51" t="str">
        <f ca="1">'Fruit Trees'!C28</f>
        <v>#10</v>
      </c>
      <c r="C32" s="51" t="str">
        <f ca="1">'Fruit Trees'!D28</f>
        <v>1-1.25"</v>
      </c>
      <c r="D32" s="51" t="str">
        <f ca="1">'Fruit Trees'!E28</f>
        <v>6-9'</v>
      </c>
      <c r="E32" s="64">
        <f ca="1">'Fruit Trees'!F28</f>
        <v>1</v>
      </c>
      <c r="F32" s="65">
        <f ca="1">'Fruit Trees'!G28</f>
        <v>100</v>
      </c>
    </row>
    <row r="33" spans="1:6" ht="12.75" x14ac:dyDescent="0.2">
      <c r="A33" s="51" t="str">
        <f ca="1">'Fruit Trees'!A29</f>
        <v>Apple - Initial</v>
      </c>
      <c r="B33" s="51" t="str">
        <f ca="1">'Fruit Trees'!C29</f>
        <v>#5</v>
      </c>
      <c r="C33" s="51" t="str">
        <f ca="1">'Fruit Trees'!D29</f>
        <v>0.75-1.5"</v>
      </c>
      <c r="D33" s="51" t="str">
        <f ca="1">'Fruit Trees'!E29</f>
        <v>6-10'</v>
      </c>
      <c r="E33" s="64">
        <f ca="1">'Fruit Trees'!F29</f>
        <v>86</v>
      </c>
      <c r="F33" s="65">
        <f ca="1">'Fruit Trees'!G29</f>
        <v>55</v>
      </c>
    </row>
    <row r="34" spans="1:6" ht="12.75" x14ac:dyDescent="0.2">
      <c r="A34" s="51" t="str">
        <f ca="1">'Fruit Trees'!A30</f>
        <v>Apple - Liberty</v>
      </c>
      <c r="B34" s="51" t="str">
        <f ca="1">'Fruit Trees'!C30</f>
        <v>#5</v>
      </c>
      <c r="C34" s="51" t="str">
        <f ca="1">'Fruit Trees'!D30</f>
        <v>0.5-1.75"</v>
      </c>
      <c r="D34" s="51" t="str">
        <f ca="1">'Fruit Trees'!E30</f>
        <v>7-9'</v>
      </c>
      <c r="E34" s="64">
        <f ca="1">'Fruit Trees'!F30</f>
        <v>165</v>
      </c>
      <c r="F34" s="65">
        <f ca="1">'Fruit Trees'!G30</f>
        <v>55</v>
      </c>
    </row>
    <row r="35" spans="1:6" ht="12.75" x14ac:dyDescent="0.2">
      <c r="A35" s="51" t="str">
        <f ca="1">'Fruit Trees'!A31</f>
        <v>Apple - Macoun</v>
      </c>
      <c r="B35" s="51" t="str">
        <f ca="1">'Fruit Trees'!C31</f>
        <v>#5</v>
      </c>
      <c r="C35" s="51" t="str">
        <f ca="1">'Fruit Trees'!D31</f>
        <v>1-1.25"</v>
      </c>
      <c r="D35" s="51" t="str">
        <f ca="1">'Fruit Trees'!E31</f>
        <v>9-10'</v>
      </c>
      <c r="E35" s="64">
        <f ca="1">'Fruit Trees'!F31</f>
        <v>103</v>
      </c>
      <c r="F35" s="65">
        <f ca="1">'Fruit Trees'!G31</f>
        <v>55</v>
      </c>
    </row>
    <row r="36" spans="1:6" ht="12.75" x14ac:dyDescent="0.2">
      <c r="A36" s="51" t="str">
        <f ca="1">'Fruit Trees'!A32</f>
        <v>Apple - McIntosh</v>
      </c>
      <c r="B36" s="51" t="str">
        <f ca="1">'Fruit Trees'!C32</f>
        <v>#5</v>
      </c>
      <c r="C36" s="51" t="str">
        <f ca="1">'Fruit Trees'!D32</f>
        <v>0.75-1.25"</v>
      </c>
      <c r="D36" s="51" t="str">
        <f ca="1">'Fruit Trees'!E32</f>
        <v>5-12'</v>
      </c>
      <c r="E36" s="64">
        <f ca="1">'Fruit Trees'!F32</f>
        <v>84</v>
      </c>
      <c r="F36" s="65">
        <f ca="1">'Fruit Trees'!G32</f>
        <v>55</v>
      </c>
    </row>
    <row r="37" spans="1:6" ht="12.75" x14ac:dyDescent="0.2">
      <c r="A37" s="51" t="str">
        <f ca="1">'Fruit Trees'!A33</f>
        <v>Apple - McIntosh</v>
      </c>
      <c r="B37" s="51" t="str">
        <f ca="1">'Fruit Trees'!C33</f>
        <v>#10</v>
      </c>
      <c r="C37" s="51" t="str">
        <f ca="1">'Fruit Trees'!D33</f>
        <v>0.75-1.25"</v>
      </c>
      <c r="D37" s="51" t="str">
        <f ca="1">'Fruit Trees'!E33</f>
        <v>5-11'</v>
      </c>
      <c r="E37" s="64">
        <f ca="1">'Fruit Trees'!F33</f>
        <v>12</v>
      </c>
      <c r="F37" s="65">
        <f ca="1">'Fruit Trees'!G33</f>
        <v>100</v>
      </c>
    </row>
    <row r="38" spans="1:6" ht="12.75" x14ac:dyDescent="0.2">
      <c r="A38" s="51" t="str">
        <f ca="1">'Fruit Trees'!A34</f>
        <v>Apple - McIntosh</v>
      </c>
      <c r="B38" s="51" t="str">
        <f ca="1">'Fruit Trees'!C34</f>
        <v>#15</v>
      </c>
      <c r="C38" s="51" t="str">
        <f ca="1">'Fruit Trees'!D34</f>
        <v>1.25-1.5"</v>
      </c>
      <c r="D38" s="51" t="str">
        <f ca="1">'Fruit Trees'!E34</f>
        <v>8-10'</v>
      </c>
      <c r="E38" s="64">
        <f ca="1">'Fruit Trees'!F34</f>
        <v>9</v>
      </c>
      <c r="F38" s="65">
        <f ca="1">'Fruit Trees'!G34</f>
        <v>150</v>
      </c>
    </row>
    <row r="39" spans="1:6" ht="12.75" x14ac:dyDescent="0.2">
      <c r="A39" s="51" t="str">
        <f ca="1">'Fruit Trees'!A35</f>
        <v>Apple - Nova Spy</v>
      </c>
      <c r="B39" s="51" t="str">
        <f ca="1">'Fruit Trees'!C35</f>
        <v>#5</v>
      </c>
      <c r="C39" s="51" t="str">
        <f ca="1">'Fruit Trees'!D35</f>
        <v>0.5-1"</v>
      </c>
      <c r="D39" s="51" t="str">
        <f ca="1">'Fruit Trees'!E35</f>
        <v>7-11'</v>
      </c>
      <c r="E39" s="64">
        <f ca="1">'Fruit Trees'!F35</f>
        <v>162</v>
      </c>
      <c r="F39" s="65">
        <f ca="1">'Fruit Trees'!G35</f>
        <v>55</v>
      </c>
    </row>
    <row r="40" spans="1:6" ht="12.75" x14ac:dyDescent="0.2">
      <c r="A40" s="51" t="str">
        <f ca="1">'Fruit Trees'!A36</f>
        <v>Apple - Pink Lady</v>
      </c>
      <c r="B40" s="51" t="str">
        <f ca="1">'Fruit Trees'!C36</f>
        <v>#5</v>
      </c>
      <c r="C40" s="51" t="str">
        <f ca="1">'Fruit Trees'!D36</f>
        <v>0.5-0.75"</v>
      </c>
      <c r="D40" s="51" t="str">
        <f ca="1">'Fruit Trees'!E36</f>
        <v>5-6'</v>
      </c>
      <c r="E40" s="64">
        <f ca="1">'Fruit Trees'!F36</f>
        <v>22</v>
      </c>
      <c r="F40" s="65">
        <f ca="1">'Fruit Trees'!G36</f>
        <v>55</v>
      </c>
    </row>
    <row r="41" spans="1:6" ht="12.75" x14ac:dyDescent="0.2">
      <c r="A41" s="51" t="str">
        <f ca="1">'Fruit Trees'!A37</f>
        <v>Apple - Querina</v>
      </c>
      <c r="B41" s="51" t="str">
        <f ca="1">'Fruit Trees'!C37</f>
        <v>#5</v>
      </c>
      <c r="C41" s="51" t="str">
        <f ca="1">'Fruit Trees'!D37</f>
        <v>0.5-1.25"</v>
      </c>
      <c r="D41" s="51" t="str">
        <f ca="1">'Fruit Trees'!E37</f>
        <v>6-10'</v>
      </c>
      <c r="E41" s="64">
        <f ca="1">'Fruit Trees'!F37</f>
        <v>324</v>
      </c>
      <c r="F41" s="65">
        <f ca="1">'Fruit Trees'!G37</f>
        <v>55</v>
      </c>
    </row>
    <row r="42" spans="1:6" ht="12.75" x14ac:dyDescent="0.2">
      <c r="A42" s="51" t="str">
        <f ca="1">'Fruit Trees'!A38</f>
        <v>Apple - Querina</v>
      </c>
      <c r="B42" s="51" t="str">
        <f ca="1">'Fruit Trees'!C38</f>
        <v>#10</v>
      </c>
      <c r="C42" s="51" t="str">
        <f ca="1">'Fruit Trees'!D38</f>
        <v>1.25-1.25"</v>
      </c>
      <c r="D42" s="51" t="str">
        <f ca="1">'Fruit Trees'!E38</f>
        <v>7-8'</v>
      </c>
      <c r="E42" s="64">
        <f ca="1">'Fruit Trees'!F38</f>
        <v>9</v>
      </c>
      <c r="F42" s="65">
        <f ca="1">'Fruit Trees'!G38</f>
        <v>100</v>
      </c>
    </row>
    <row r="43" spans="1:6" ht="12.75" x14ac:dyDescent="0.2">
      <c r="A43" s="51" t="str">
        <f ca="1">'Fruit Trees'!A39</f>
        <v>Apple - Red Cameo</v>
      </c>
      <c r="B43" s="51" t="str">
        <f ca="1">'Fruit Trees'!C39</f>
        <v>#5</v>
      </c>
      <c r="C43" s="51" t="str">
        <f ca="1">'Fruit Trees'!D39</f>
        <v>0.5-1"</v>
      </c>
      <c r="D43" s="51" t="str">
        <f ca="1">'Fruit Trees'!E39</f>
        <v>6-9'</v>
      </c>
      <c r="E43" s="64">
        <f ca="1">'Fruit Trees'!F39</f>
        <v>46</v>
      </c>
      <c r="F43" s="65">
        <f ca="1">'Fruit Trees'!G39</f>
        <v>55</v>
      </c>
    </row>
    <row r="44" spans="1:6" ht="12.75" x14ac:dyDescent="0.2">
      <c r="A44" s="51" t="str">
        <f ca="1">'Fruit Trees'!A40</f>
        <v>Apple - Red Delicious</v>
      </c>
      <c r="B44" s="51" t="str">
        <f ca="1">'Fruit Trees'!C40</f>
        <v>#5</v>
      </c>
      <c r="C44" s="51" t="str">
        <f ca="1">'Fruit Trees'!D40</f>
        <v>0.75-1.25"</v>
      </c>
      <c r="D44" s="51" t="str">
        <f ca="1">'Fruit Trees'!E40</f>
        <v>6-11'</v>
      </c>
      <c r="E44" s="64">
        <f ca="1">'Fruit Trees'!F40</f>
        <v>195</v>
      </c>
      <c r="F44" s="65">
        <f ca="1">'Fruit Trees'!G40</f>
        <v>55</v>
      </c>
    </row>
    <row r="45" spans="1:6" ht="12.75" x14ac:dyDescent="0.2">
      <c r="A45" s="51" t="str">
        <f ca="1">'Fruit Trees'!A41</f>
        <v>Apple - Red Delicious</v>
      </c>
      <c r="B45" s="51" t="str">
        <f ca="1">'Fruit Trees'!C41</f>
        <v>#10</v>
      </c>
      <c r="C45" s="51" t="str">
        <f ca="1">'Fruit Trees'!D41</f>
        <v>0.5-1.5"</v>
      </c>
      <c r="D45" s="51" t="str">
        <f ca="1">'Fruit Trees'!E41</f>
        <v>6-11'</v>
      </c>
      <c r="E45" s="64">
        <f ca="1">'Fruit Trees'!F41</f>
        <v>10</v>
      </c>
      <c r="F45" s="65">
        <f ca="1">'Fruit Trees'!G41</f>
        <v>100</v>
      </c>
    </row>
    <row r="46" spans="1:6" ht="12.75" x14ac:dyDescent="0.2">
      <c r="A46" s="51" t="str">
        <f ca="1">'Fruit Trees'!A42</f>
        <v>Apple - Red Delicious</v>
      </c>
      <c r="B46" s="51" t="str">
        <f ca="1">'Fruit Trees'!C42</f>
        <v>#15</v>
      </c>
      <c r="C46" s="51" t="str">
        <f ca="1">'Fruit Trees'!D42</f>
        <v>1.25-1.5"</v>
      </c>
      <c r="D46" s="51" t="str">
        <f ca="1">'Fruit Trees'!E42</f>
        <v>9-10'</v>
      </c>
      <c r="E46" s="64">
        <f ca="1">'Fruit Trees'!F42</f>
        <v>8</v>
      </c>
      <c r="F46" s="65">
        <f ca="1">'Fruit Trees'!G42</f>
        <v>150</v>
      </c>
    </row>
    <row r="47" spans="1:6" ht="12.75" x14ac:dyDescent="0.2">
      <c r="A47" s="51" t="str">
        <f ca="1">'Fruit Trees'!A43</f>
        <v>Apple - RubyRush</v>
      </c>
      <c r="B47" s="51" t="str">
        <f ca="1">'Fruit Trees'!C43</f>
        <v>#5</v>
      </c>
      <c r="C47" s="51" t="str">
        <f ca="1">'Fruit Trees'!D43</f>
        <v>1-1.25"</v>
      </c>
      <c r="D47" s="51" t="str">
        <f ca="1">'Fruit Trees'!E43</f>
        <v>8-12'</v>
      </c>
      <c r="E47" s="64">
        <f ca="1">'Fruit Trees'!F43</f>
        <v>26</v>
      </c>
      <c r="F47" s="65">
        <f ca="1">'Fruit Trees'!G43</f>
        <v>55</v>
      </c>
    </row>
    <row r="48" spans="1:6" ht="12.75" x14ac:dyDescent="0.2">
      <c r="A48" s="51" t="str">
        <f ca="1">'Fruit Trees'!A44</f>
        <v>Apple - Spur Winter Banana</v>
      </c>
      <c r="B48" s="51" t="str">
        <f ca="1">'Fruit Trees'!C44</f>
        <v>#5</v>
      </c>
      <c r="C48" s="51" t="str">
        <f ca="1">'Fruit Trees'!D44</f>
        <v>0.5-1"</v>
      </c>
      <c r="D48" s="51" t="str">
        <f ca="1">'Fruit Trees'!E44</f>
        <v>4-7'</v>
      </c>
      <c r="E48" s="64">
        <f ca="1">'Fruit Trees'!F44</f>
        <v>34</v>
      </c>
      <c r="F48" s="65">
        <f ca="1">'Fruit Trees'!G44</f>
        <v>55</v>
      </c>
    </row>
    <row r="49" spans="1:6" ht="12.75" x14ac:dyDescent="0.2">
      <c r="A49" s="51" t="str">
        <f ca="1">'Fruit Trees'!A45</f>
        <v>Apple - Winesap</v>
      </c>
      <c r="B49" s="51" t="str">
        <f ca="1">'Fruit Trees'!C45</f>
        <v>#5</v>
      </c>
      <c r="C49" s="51" t="str">
        <f ca="1">'Fruit Trees'!D45</f>
        <v>0.75-1.25"</v>
      </c>
      <c r="D49" s="51" t="str">
        <f ca="1">'Fruit Trees'!E45</f>
        <v>5-11'</v>
      </c>
      <c r="E49" s="64">
        <f ca="1">'Fruit Trees'!F45</f>
        <v>128</v>
      </c>
      <c r="F49" s="65">
        <f ca="1">'Fruit Trees'!G45</f>
        <v>55</v>
      </c>
    </row>
    <row r="50" spans="1:6" ht="12.75" x14ac:dyDescent="0.2">
      <c r="A50" s="51" t="str">
        <f ca="1">'Fruit Trees'!A46</f>
        <v>Apple - Winesap</v>
      </c>
      <c r="B50" s="51" t="str">
        <f ca="1">'Fruit Trees'!C46</f>
        <v>#10</v>
      </c>
      <c r="C50" s="51" t="str">
        <f ca="1">'Fruit Trees'!D46</f>
        <v>1-1.25"</v>
      </c>
      <c r="D50" s="51" t="str">
        <f ca="1">'Fruit Trees'!E46</f>
        <v>5-6'</v>
      </c>
      <c r="E50" s="64">
        <f ca="1">'Fruit Trees'!F46</f>
        <v>6</v>
      </c>
      <c r="F50" s="65">
        <f ca="1">'Fruit Trees'!G46</f>
        <v>100</v>
      </c>
    </row>
    <row r="51" spans="1:6" ht="12.75" x14ac:dyDescent="0.2">
      <c r="A51" s="51" t="str">
        <f ca="1">'Fruit Trees'!A47</f>
        <v>Apple - Winesap</v>
      </c>
      <c r="B51" s="51" t="str">
        <f ca="1">'Fruit Trees'!C47</f>
        <v>#15</v>
      </c>
      <c r="C51" s="51" t="str">
        <f ca="1">'Fruit Trees'!D47</f>
        <v>1-1.25"</v>
      </c>
      <c r="D51" s="51" t="str">
        <f ca="1">'Fruit Trees'!E47</f>
        <v>9-10'</v>
      </c>
      <c r="E51" s="64">
        <f ca="1">'Fruit Trees'!F47</f>
        <v>8</v>
      </c>
      <c r="F51" s="65">
        <f ca="1">'Fruit Trees'!G47</f>
        <v>150</v>
      </c>
    </row>
    <row r="52" spans="1:6" ht="12.75" x14ac:dyDescent="0.2">
      <c r="A52" s="51" t="str">
        <f ca="1">'Fruit Trees'!A48</f>
        <v>Apple - Wolf River</v>
      </c>
      <c r="B52" s="51" t="str">
        <f ca="1">'Fruit Trees'!C48</f>
        <v>#10</v>
      </c>
      <c r="C52" s="51" t="str">
        <f ca="1">'Fruit Trees'!D48</f>
        <v>1.25-1.25"</v>
      </c>
      <c r="D52" s="51" t="str">
        <f ca="1">'Fruit Trees'!E48</f>
        <v>10-11'</v>
      </c>
      <c r="E52" s="64">
        <f ca="1">'Fruit Trees'!F48</f>
        <v>9</v>
      </c>
      <c r="F52" s="65">
        <f ca="1">'Fruit Trees'!G48</f>
        <v>100</v>
      </c>
    </row>
    <row r="53" spans="1:6" ht="12.75" x14ac:dyDescent="0.2">
      <c r="A53" s="51" t="str">
        <f ca="1">'Fruit Trees'!A49</f>
        <v>Apple - Wolf River</v>
      </c>
      <c r="B53" s="51" t="str">
        <f ca="1">'Fruit Trees'!C49</f>
        <v>#5</v>
      </c>
      <c r="C53" s="51" t="str">
        <f ca="1">'Fruit Trees'!D49</f>
        <v>0.75-1"</v>
      </c>
      <c r="D53" s="51" t="str">
        <f ca="1">'Fruit Trees'!E49</f>
        <v>6-10'</v>
      </c>
      <c r="E53" s="64">
        <f ca="1">'Fruit Trees'!F49</f>
        <v>120</v>
      </c>
      <c r="F53" s="65">
        <f ca="1">'Fruit Trees'!G49</f>
        <v>55</v>
      </c>
    </row>
    <row r="54" spans="1:6" ht="12.75" x14ac:dyDescent="0.2">
      <c r="A54" s="51" t="str">
        <f ca="1">'Fruit Trees'!A50</f>
        <v>Apricot - Moorpark</v>
      </c>
      <c r="B54" s="51" t="str">
        <f ca="1">'Fruit Trees'!C50</f>
        <v>#5</v>
      </c>
      <c r="C54" s="51" t="str">
        <f ca="1">'Fruit Trees'!D50</f>
        <v>0.75-1"</v>
      </c>
      <c r="D54" s="51" t="str">
        <f ca="1">'Fruit Trees'!E50</f>
        <v>5-6.5'</v>
      </c>
      <c r="E54" s="64">
        <f ca="1">'Fruit Trees'!F50</f>
        <v>14</v>
      </c>
      <c r="F54" s="65">
        <f ca="1">'Fruit Trees'!G50</f>
        <v>70</v>
      </c>
    </row>
    <row r="55" spans="1:6" ht="12.75" x14ac:dyDescent="0.2">
      <c r="A55" s="51" t="str">
        <f ca="1">'Fruit Trees'!A51</f>
        <v>Asian Pear - Hosui</v>
      </c>
      <c r="B55" s="51" t="str">
        <f ca="1">'Fruit Trees'!C51</f>
        <v>#7</v>
      </c>
      <c r="C55" s="51" t="str">
        <f ca="1">'Fruit Trees'!D51</f>
        <v>1-1.25"</v>
      </c>
      <c r="D55" s="51" t="str">
        <f ca="1">'Fruit Trees'!E51</f>
        <v>8.5-10'</v>
      </c>
      <c r="E55" s="64">
        <f ca="1">'Fruit Trees'!F51</f>
        <v>3</v>
      </c>
      <c r="F55" s="65">
        <f ca="1">'Fruit Trees'!G51</f>
        <v>80</v>
      </c>
    </row>
    <row r="56" spans="1:6" ht="12.75" x14ac:dyDescent="0.2">
      <c r="A56" s="51" t="str">
        <f ca="1">'Fruit Trees'!A52</f>
        <v>Asian Pear - Kosui</v>
      </c>
      <c r="B56" s="51" t="str">
        <f ca="1">'Fruit Trees'!C52</f>
        <v>#7</v>
      </c>
      <c r="C56" s="51" t="str">
        <f ca="1">'Fruit Trees'!D52</f>
        <v>0.75-1.5"</v>
      </c>
      <c r="D56" s="51" t="str">
        <f ca="1">'Fruit Trees'!E52</f>
        <v>6-11'</v>
      </c>
      <c r="E56" s="64">
        <f ca="1">'Fruit Trees'!F52</f>
        <v>73</v>
      </c>
      <c r="F56" s="65">
        <f ca="1">'Fruit Trees'!G52</f>
        <v>80</v>
      </c>
    </row>
    <row r="57" spans="1:6" ht="12.75" x14ac:dyDescent="0.2">
      <c r="A57" s="51" t="str">
        <f ca="1">'Fruit Trees'!A53</f>
        <v>Asian Pear - Olympic</v>
      </c>
      <c r="B57" s="51" t="str">
        <f ca="1">'Fruit Trees'!C53</f>
        <v>#5</v>
      </c>
      <c r="C57" s="51" t="str">
        <f ca="1">'Fruit Trees'!D53</f>
        <v>0.5-1"</v>
      </c>
      <c r="D57" s="51" t="str">
        <f ca="1">'Fruit Trees'!E53</f>
        <v>6-8'</v>
      </c>
      <c r="E57" s="64">
        <f ca="1">'Fruit Trees'!F53</f>
        <v>38</v>
      </c>
      <c r="F57" s="65">
        <f ca="1">'Fruit Trees'!G53</f>
        <v>55</v>
      </c>
    </row>
    <row r="58" spans="1:6" ht="12.75" x14ac:dyDescent="0.2">
      <c r="A58" s="51" t="str">
        <f ca="1">'Fruit Trees'!A54</f>
        <v>Asian Pear - Olympic</v>
      </c>
      <c r="B58" s="51" t="str">
        <f ca="1">'Fruit Trees'!C54</f>
        <v>#7</v>
      </c>
      <c r="C58" s="51" t="str">
        <f ca="1">'Fruit Trees'!D54</f>
        <v>1-1.5"</v>
      </c>
      <c r="D58" s="51" t="str">
        <f ca="1">'Fruit Trees'!E54</f>
        <v>6-11'</v>
      </c>
      <c r="E58" s="64">
        <f ca="1">'Fruit Trees'!F54</f>
        <v>116</v>
      </c>
      <c r="F58" s="65">
        <f ca="1">'Fruit Trees'!G54</f>
        <v>80</v>
      </c>
    </row>
    <row r="59" spans="1:6" ht="12.75" x14ac:dyDescent="0.2">
      <c r="A59" s="51" t="str">
        <f ca="1">'Fruit Trees'!A55</f>
        <v>Asian Pear - Shinko</v>
      </c>
      <c r="B59" s="51" t="str">
        <f ca="1">'Fruit Trees'!C55</f>
        <v>#5</v>
      </c>
      <c r="C59" s="51" t="str">
        <f ca="1">'Fruit Trees'!D55</f>
        <v>0.5-1.25"</v>
      </c>
      <c r="D59" s="51" t="str">
        <f ca="1">'Fruit Trees'!E55</f>
        <v>6-9'</v>
      </c>
      <c r="E59" s="64">
        <f ca="1">'Fruit Trees'!F55</f>
        <v>59</v>
      </c>
      <c r="F59" s="65">
        <f ca="1">'Fruit Trees'!G55</f>
        <v>55</v>
      </c>
    </row>
    <row r="60" spans="1:6" ht="12.75" x14ac:dyDescent="0.2">
      <c r="A60" s="51" t="str">
        <f ca="1">'Fruit Trees'!A56</f>
        <v>Asian Pear - Shinko</v>
      </c>
      <c r="B60" s="51" t="str">
        <f ca="1">'Fruit Trees'!C56</f>
        <v>#7</v>
      </c>
      <c r="C60" s="51" t="str">
        <f ca="1">'Fruit Trees'!D56</f>
        <v>0.75-1.25"</v>
      </c>
      <c r="D60" s="51" t="str">
        <f ca="1">'Fruit Trees'!E56</f>
        <v>6.5-11'</v>
      </c>
      <c r="E60" s="64">
        <f ca="1">'Fruit Trees'!F56</f>
        <v>32</v>
      </c>
      <c r="F60" s="65">
        <f ca="1">'Fruit Trees'!G56</f>
        <v>80</v>
      </c>
    </row>
    <row r="61" spans="1:6" ht="12.75" x14ac:dyDescent="0.2">
      <c r="A61" s="51" t="str">
        <f ca="1">'Fruit Trees'!A57</f>
        <v>Asian Pear - Shinseiki</v>
      </c>
      <c r="B61" s="51" t="str">
        <f ca="1">'Fruit Trees'!C57</f>
        <v>#5</v>
      </c>
      <c r="C61" s="51" t="str">
        <f ca="1">'Fruit Trees'!D57</f>
        <v>0.5-0.75"</v>
      </c>
      <c r="D61" s="51" t="str">
        <f ca="1">'Fruit Trees'!E57</f>
        <v>6-7'</v>
      </c>
      <c r="E61" s="64">
        <f ca="1">'Fruit Trees'!F57</f>
        <v>88</v>
      </c>
      <c r="F61" s="65">
        <f ca="1">'Fruit Trees'!G57</f>
        <v>55</v>
      </c>
    </row>
    <row r="62" spans="1:6" ht="12.75" x14ac:dyDescent="0.2">
      <c r="A62" s="51" t="str">
        <f ca="1">'Fruit Trees'!A58</f>
        <v>Black Chokeberry</v>
      </c>
      <c r="B62" s="51" t="str">
        <f ca="1">'Fruit Trees'!C58</f>
        <v>#5</v>
      </c>
      <c r="C62" s="51" t="str">
        <f ca="1">'Fruit Trees'!D58</f>
        <v>Multi</v>
      </c>
      <c r="D62" s="51" t="str">
        <f ca="1">'Fruit Trees'!E58</f>
        <v>2.5-3'</v>
      </c>
      <c r="E62" s="64">
        <f ca="1">'Fruit Trees'!F58</f>
        <v>14</v>
      </c>
      <c r="F62" s="65">
        <f ca="1">'Fruit Trees'!G58</f>
        <v>37</v>
      </c>
    </row>
    <row r="63" spans="1:6" ht="12.75" x14ac:dyDescent="0.2">
      <c r="A63" s="51" t="str">
        <f ca="1">'Fruit Trees'!A59</f>
        <v>Blackberry - Arapaho</v>
      </c>
      <c r="B63" s="51" t="str">
        <f ca="1">'Fruit Trees'!C59</f>
        <v>#5</v>
      </c>
      <c r="C63" s="51" t="str">
        <f ca="1">'Fruit Trees'!D59</f>
        <v>Vine</v>
      </c>
      <c r="D63" s="51" t="str">
        <f ca="1">'Fruit Trees'!E59</f>
        <v>0.5-0.5'</v>
      </c>
      <c r="E63" s="64">
        <f ca="1">'Fruit Trees'!F59</f>
        <v>143</v>
      </c>
      <c r="F63" s="65">
        <f ca="1">'Fruit Trees'!G59</f>
        <v>35</v>
      </c>
    </row>
    <row r="64" spans="1:6" ht="12.75" x14ac:dyDescent="0.2">
      <c r="A64" s="51" t="str">
        <f ca="1">'Fruit Trees'!A60</f>
        <v>Blackberry - Navajo</v>
      </c>
      <c r="B64" s="51" t="str">
        <f ca="1">'Fruit Trees'!C60</f>
        <v>#5</v>
      </c>
      <c r="C64" s="51" t="str">
        <f ca="1">'Fruit Trees'!D60</f>
        <v>Multi</v>
      </c>
      <c r="D64" s="51" t="str">
        <f ca="1">'Fruit Trees'!E60</f>
        <v>2-3'</v>
      </c>
      <c r="E64" s="64">
        <f ca="1">'Fruit Trees'!F60</f>
        <v>41</v>
      </c>
      <c r="F64" s="65">
        <f ca="1">'Fruit Trees'!G60</f>
        <v>35</v>
      </c>
    </row>
    <row r="65" spans="1:6" ht="12.75" x14ac:dyDescent="0.2">
      <c r="A65" s="51" t="str">
        <f ca="1">'Fruit Trees'!A61</f>
        <v>Blackberry - Ouachita</v>
      </c>
      <c r="B65" s="51" t="str">
        <f ca="1">'Fruit Trees'!C61</f>
        <v>#5</v>
      </c>
      <c r="C65" s="51" t="str">
        <f ca="1">'Fruit Trees'!D61</f>
        <v>Vine</v>
      </c>
      <c r="D65" s="51" t="str">
        <f ca="1">'Fruit Trees'!E61</f>
        <v>3-5'</v>
      </c>
      <c r="E65" s="64">
        <f ca="1">'Fruit Trees'!F61</f>
        <v>29</v>
      </c>
      <c r="F65" s="65">
        <f ca="1">'Fruit Trees'!G61</f>
        <v>35</v>
      </c>
    </row>
    <row r="66" spans="1:6" ht="12.75" x14ac:dyDescent="0.2">
      <c r="A66" s="51" t="str">
        <f ca="1">'Fruit Trees'!A62</f>
        <v>Blackberry - Prime-ark 'Freedom'</v>
      </c>
      <c r="B66" s="51" t="str">
        <f ca="1">'Fruit Trees'!C62</f>
        <v>#5</v>
      </c>
      <c r="C66" s="51" t="str">
        <f ca="1">'Fruit Trees'!D62</f>
        <v>Vine</v>
      </c>
      <c r="D66" s="51" t="str">
        <f ca="1">'Fruit Trees'!E62</f>
        <v>2-3'</v>
      </c>
      <c r="E66" s="64">
        <f ca="1">'Fruit Trees'!F62</f>
        <v>50</v>
      </c>
      <c r="F66" s="65">
        <f ca="1">'Fruit Trees'!G62</f>
        <v>35</v>
      </c>
    </row>
    <row r="67" spans="1:6" ht="12.75" x14ac:dyDescent="0.2">
      <c r="A67" s="51" t="str">
        <f ca="1">'Fruit Trees'!A63</f>
        <v>Blueberry - Blue Crop</v>
      </c>
      <c r="B67" s="51" t="str">
        <f ca="1">'Fruit Trees'!C63</f>
        <v>#3p</v>
      </c>
      <c r="C67" s="51" t="str">
        <f ca="1">'Fruit Trees'!D63</f>
        <v>Multi</v>
      </c>
      <c r="D67" s="51" t="str">
        <f ca="1">'Fruit Trees'!E63</f>
        <v>2.5-3'</v>
      </c>
      <c r="E67" s="64">
        <f ca="1">'Fruit Trees'!F63</f>
        <v>3</v>
      </c>
      <c r="F67" s="65">
        <f ca="1">'Fruit Trees'!G63</f>
        <v>35</v>
      </c>
    </row>
    <row r="68" spans="1:6" ht="12.75" x14ac:dyDescent="0.2">
      <c r="A68" s="51" t="str">
        <f ca="1">'Fruit Trees'!A64</f>
        <v>Cherry (Sour) - Montmorency</v>
      </c>
      <c r="B68" s="51" t="str">
        <f ca="1">'Fruit Trees'!C64</f>
        <v>#5</v>
      </c>
      <c r="C68" s="51" t="str">
        <f ca="1">'Fruit Trees'!D64</f>
        <v>0.75-1.25"</v>
      </c>
      <c r="D68" s="51" t="str">
        <f ca="1">'Fruit Trees'!E64</f>
        <v>5.5-8'</v>
      </c>
      <c r="E68" s="64">
        <f ca="1">'Fruit Trees'!F64</f>
        <v>1</v>
      </c>
      <c r="F68" s="65">
        <f ca="1">'Fruit Trees'!G64</f>
        <v>80</v>
      </c>
    </row>
    <row r="69" spans="1:6" ht="12.75" x14ac:dyDescent="0.2">
      <c r="A69" s="51" t="str">
        <f ca="1">'Fruit Trees'!A65</f>
        <v>Chestnut - Chinese</v>
      </c>
      <c r="B69" s="51" t="str">
        <f ca="1">'Fruit Trees'!C65</f>
        <v>#5</v>
      </c>
      <c r="C69" s="51" t="str">
        <f ca="1">'Fruit Trees'!D65</f>
        <v>0.25-1.25"</v>
      </c>
      <c r="D69" s="51" t="str">
        <f ca="1">'Fruit Trees'!E65</f>
        <v>4-10'</v>
      </c>
      <c r="E69" s="64">
        <f ca="1">'Fruit Trees'!F65</f>
        <v>204</v>
      </c>
      <c r="F69" s="65">
        <f ca="1">'Fruit Trees'!G65</f>
        <v>55</v>
      </c>
    </row>
    <row r="70" spans="1:6" ht="12.75" x14ac:dyDescent="0.2">
      <c r="A70" s="51" t="str">
        <f ca="1">'Fruit Trees'!A66</f>
        <v>Currant - Rovada Red</v>
      </c>
      <c r="B70" s="51" t="str">
        <f ca="1">'Fruit Trees'!C66</f>
        <v>#5</v>
      </c>
      <c r="C70" s="51" t="str">
        <f ca="1">'Fruit Trees'!D66</f>
        <v>Multi</v>
      </c>
      <c r="D70" s="51" t="str">
        <f ca="1">'Fruit Trees'!E66</f>
        <v>1-2'</v>
      </c>
      <c r="E70" s="64">
        <f ca="1">'Fruit Trees'!F66</f>
        <v>80</v>
      </c>
      <c r="F70" s="65">
        <f ca="1">'Fruit Trees'!G66</f>
        <v>45</v>
      </c>
    </row>
    <row r="71" spans="1:6" ht="12.75" x14ac:dyDescent="0.2">
      <c r="A71" s="51" t="str">
        <f ca="1">'Fruit Trees'!A67</f>
        <v>Elderberry</v>
      </c>
      <c r="B71" s="51" t="str">
        <f ca="1">'Fruit Trees'!C67</f>
        <v>#5</v>
      </c>
      <c r="C71" s="51" t="str">
        <f ca="1">'Fruit Trees'!D67</f>
        <v>Multi</v>
      </c>
      <c r="D71" s="51" t="str">
        <f ca="1">'Fruit Trees'!E67</f>
        <v>1-5'</v>
      </c>
      <c r="E71" s="64">
        <f ca="1">'Fruit Trees'!F67</f>
        <v>163</v>
      </c>
      <c r="F71" s="65">
        <f ca="1">'Fruit Trees'!G67</f>
        <v>35</v>
      </c>
    </row>
    <row r="72" spans="1:6" ht="12.75" x14ac:dyDescent="0.2">
      <c r="A72" s="51" t="str">
        <f ca="1">'Fruit Trees'!A68</f>
        <v>Elderberry - Pocahontas</v>
      </c>
      <c r="B72" s="51" t="str">
        <f ca="1">'Fruit Trees'!C68</f>
        <v>#5</v>
      </c>
      <c r="C72" s="51" t="str">
        <f ca="1">'Fruit Trees'!D68</f>
        <v>Multi</v>
      </c>
      <c r="D72" s="51" t="str">
        <f ca="1">'Fruit Trees'!E68</f>
        <v>1.5-4'</v>
      </c>
      <c r="E72" s="64">
        <f ca="1">'Fruit Trees'!F68</f>
        <v>27</v>
      </c>
      <c r="F72" s="65">
        <f ca="1">'Fruit Trees'!G68</f>
        <v>35</v>
      </c>
    </row>
    <row r="73" spans="1:6" ht="12.75" x14ac:dyDescent="0.2">
      <c r="A73" s="51" t="str">
        <f ca="1">'Fruit Trees'!A69</f>
        <v>Elderberry - York</v>
      </c>
      <c r="B73" s="51" t="str">
        <f ca="1">'Fruit Trees'!C69</f>
        <v>#5</v>
      </c>
      <c r="C73" s="51" t="str">
        <f ca="1">'Fruit Trees'!D69</f>
        <v>Multi</v>
      </c>
      <c r="D73" s="51" t="str">
        <f ca="1">'Fruit Trees'!E69</f>
        <v>3-5'</v>
      </c>
      <c r="E73" s="64">
        <f ca="1">'Fruit Trees'!F69</f>
        <v>141</v>
      </c>
      <c r="F73" s="65">
        <f ca="1">'Fruit Trees'!G69</f>
        <v>35</v>
      </c>
    </row>
    <row r="74" spans="1:6" ht="12.75" x14ac:dyDescent="0.2">
      <c r="A74" s="51" t="str">
        <f ca="1">'Fruit Trees'!A70</f>
        <v>Fig - Black Mission</v>
      </c>
      <c r="B74" s="51" t="str">
        <f ca="1">'Fruit Trees'!C70</f>
        <v>#5</v>
      </c>
      <c r="C74" s="51" t="str">
        <f ca="1">'Fruit Trees'!D70</f>
        <v>Multi</v>
      </c>
      <c r="D74" s="51" t="str">
        <f ca="1">'Fruit Trees'!E70</f>
        <v>0.5-3'</v>
      </c>
      <c r="E74" s="64">
        <f ca="1">'Fruit Trees'!F70</f>
        <v>92</v>
      </c>
      <c r="F74" s="65">
        <f ca="1">'Fruit Trees'!G70</f>
        <v>35</v>
      </c>
    </row>
    <row r="75" spans="1:6" ht="12.75" x14ac:dyDescent="0.2">
      <c r="A75" s="51" t="str">
        <f ca="1">'Fruit Trees'!A71</f>
        <v>Fig - Brown Turkey</v>
      </c>
      <c r="B75" s="51" t="str">
        <f ca="1">'Fruit Trees'!C71</f>
        <v>#5</v>
      </c>
      <c r="C75" s="51" t="str">
        <f ca="1">'Fruit Trees'!D71</f>
        <v>Multi</v>
      </c>
      <c r="D75" s="51" t="str">
        <f ca="1">'Fruit Trees'!E71</f>
        <v>1-2'</v>
      </c>
      <c r="E75" s="64">
        <f ca="1">'Fruit Trees'!F71</f>
        <v>21</v>
      </c>
      <c r="F75" s="65">
        <f ca="1">'Fruit Trees'!G71</f>
        <v>35</v>
      </c>
    </row>
    <row r="76" spans="1:6" ht="12.75" x14ac:dyDescent="0.2">
      <c r="A76" s="51" t="str">
        <f ca="1">'Fruit Trees'!A72</f>
        <v>Fig - Celeste</v>
      </c>
      <c r="B76" s="51" t="str">
        <f ca="1">'Fruit Trees'!C72</f>
        <v>#5</v>
      </c>
      <c r="C76" s="51" t="str">
        <f ca="1">'Fruit Trees'!D72</f>
        <v>0.25-0.25"</v>
      </c>
      <c r="D76" s="51" t="str">
        <f ca="1">'Fruit Trees'!E72</f>
        <v>0.25-3'</v>
      </c>
      <c r="E76" s="64">
        <f ca="1">'Fruit Trees'!F72</f>
        <v>55</v>
      </c>
      <c r="F76" s="65">
        <f ca="1">'Fruit Trees'!G72</f>
        <v>35</v>
      </c>
    </row>
    <row r="77" spans="1:6" ht="12.75" x14ac:dyDescent="0.2">
      <c r="A77" s="51" t="str">
        <f ca="1">'Fruit Trees'!A73</f>
        <v>Fig - Celeste</v>
      </c>
      <c r="B77" s="51" t="str">
        <f ca="1">'Fruit Trees'!C73</f>
        <v>#5</v>
      </c>
      <c r="C77" s="51" t="str">
        <f ca="1">'Fruit Trees'!D73</f>
        <v>Multi</v>
      </c>
      <c r="D77" s="51" t="str">
        <f ca="1">'Fruit Trees'!E73</f>
        <v>0.25-3'</v>
      </c>
      <c r="E77" s="64">
        <f ca="1">'Fruit Trees'!F73</f>
        <v>32</v>
      </c>
      <c r="F77" s="65">
        <f ca="1">'Fruit Trees'!G73</f>
        <v>35</v>
      </c>
    </row>
    <row r="78" spans="1:6" ht="12.75" x14ac:dyDescent="0.2">
      <c r="A78" s="51" t="str">
        <f ca="1">'Fruit Trees'!A74</f>
        <v>Fig - Chicago Hardy</v>
      </c>
      <c r="B78" s="51" t="str">
        <f ca="1">'Fruit Trees'!C74</f>
        <v>#5</v>
      </c>
      <c r="C78" s="51" t="str">
        <f ca="1">'Fruit Trees'!D74</f>
        <v>Multi</v>
      </c>
      <c r="D78" s="51" t="str">
        <f ca="1">'Fruit Trees'!E74</f>
        <v>2-4'</v>
      </c>
      <c r="E78" s="64">
        <f ca="1">'Fruit Trees'!F74</f>
        <v>187</v>
      </c>
      <c r="F78" s="65">
        <f ca="1">'Fruit Trees'!G74</f>
        <v>35</v>
      </c>
    </row>
    <row r="79" spans="1:6" ht="12.75" x14ac:dyDescent="0.2">
      <c r="A79" s="51" t="str">
        <f ca="1">'Fruit Trees'!A75</f>
        <v>Fig - Fignomenal</v>
      </c>
      <c r="B79" s="51" t="str">
        <f ca="1">'Fruit Trees'!C75</f>
        <v>#5</v>
      </c>
      <c r="C79" s="51" t="str">
        <f ca="1">'Fruit Trees'!D75</f>
        <v>Multi</v>
      </c>
      <c r="D79" s="51" t="str">
        <f ca="1">'Fruit Trees'!E75</f>
        <v>0.5-1'</v>
      </c>
      <c r="E79" s="64">
        <f ca="1">'Fruit Trees'!F75</f>
        <v>60</v>
      </c>
      <c r="F79" s="65">
        <f ca="1">'Fruit Trees'!G75</f>
        <v>35</v>
      </c>
    </row>
    <row r="80" spans="1:6" ht="12.75" x14ac:dyDescent="0.2">
      <c r="A80" s="51" t="str">
        <f ca="1">'Fruit Trees'!A76</f>
        <v>Fig - Italian Honey</v>
      </c>
      <c r="B80" s="51" t="str">
        <f ca="1">'Fruit Trees'!C76</f>
        <v>#5</v>
      </c>
      <c r="C80" s="51" t="str">
        <f ca="1">'Fruit Trees'!D76</f>
        <v>Multi</v>
      </c>
      <c r="D80" s="51" t="str">
        <f ca="1">'Fruit Trees'!E76</f>
        <v>1.5-2.5'</v>
      </c>
      <c r="E80" s="64">
        <f ca="1">'Fruit Trees'!F76</f>
        <v>12</v>
      </c>
      <c r="F80" s="65">
        <f ca="1">'Fruit Trees'!G76</f>
        <v>35</v>
      </c>
    </row>
    <row r="81" spans="1:6" ht="12.75" x14ac:dyDescent="0.2">
      <c r="A81" s="51" t="str">
        <f ca="1">'Fruit Trees'!A77</f>
        <v>Fig - Olympian</v>
      </c>
      <c r="B81" s="51" t="str">
        <f ca="1">'Fruit Trees'!C77</f>
        <v>#5</v>
      </c>
      <c r="C81" s="51" t="str">
        <f ca="1">'Fruit Trees'!D77</f>
        <v>Multi</v>
      </c>
      <c r="D81" s="51" t="str">
        <f ca="1">'Fruit Trees'!E77</f>
        <v>0.25-0.5'</v>
      </c>
      <c r="E81" s="64">
        <f ca="1">'Fruit Trees'!F77</f>
        <v>52</v>
      </c>
      <c r="F81" s="65">
        <f ca="1">'Fruit Trees'!G77</f>
        <v>35</v>
      </c>
    </row>
    <row r="82" spans="1:6" ht="12.75" x14ac:dyDescent="0.2">
      <c r="A82" s="51" t="str">
        <f ca="1">'Fruit Trees'!A78</f>
        <v>Goji Berry</v>
      </c>
      <c r="B82" s="51" t="str">
        <f ca="1">'Fruit Trees'!C78</f>
        <v>#5</v>
      </c>
      <c r="C82" s="51" t="str">
        <f ca="1">'Fruit Trees'!D78</f>
        <v>Multi</v>
      </c>
      <c r="D82" s="51" t="str">
        <f ca="1">'Fruit Trees'!E78</f>
        <v>0.5-0.5'</v>
      </c>
      <c r="E82" s="64">
        <f ca="1">'Fruit Trees'!F78</f>
        <v>38</v>
      </c>
      <c r="F82" s="65">
        <f ca="1">'Fruit Trees'!G78</f>
        <v>35</v>
      </c>
    </row>
    <row r="83" spans="1:6" ht="12.75" x14ac:dyDescent="0.2">
      <c r="A83" s="51" t="str">
        <f ca="1">'Fruit Trees'!A79</f>
        <v>Gooseberry - Hinnomaki Red</v>
      </c>
      <c r="B83" s="51" t="str">
        <f ca="1">'Fruit Trees'!C79</f>
        <v>#5</v>
      </c>
      <c r="C83" s="51" t="str">
        <f ca="1">'Fruit Trees'!D79</f>
        <v>Multi</v>
      </c>
      <c r="D83" s="51" t="str">
        <f ca="1">'Fruit Trees'!E79</f>
        <v>1-2'</v>
      </c>
      <c r="E83" s="64">
        <f ca="1">'Fruit Trees'!F79</f>
        <v>120</v>
      </c>
      <c r="F83" s="65">
        <f ca="1">'Fruit Trees'!G79</f>
        <v>45</v>
      </c>
    </row>
    <row r="84" spans="1:6" ht="12.75" x14ac:dyDescent="0.2">
      <c r="A84" s="51" t="str">
        <f ca="1">'Fruit Trees'!A80</f>
        <v>Gooseberry - Invicta Green</v>
      </c>
      <c r="B84" s="51" t="str">
        <f ca="1">'Fruit Trees'!C80</f>
        <v>#5</v>
      </c>
      <c r="C84" s="51" t="str">
        <f ca="1">'Fruit Trees'!D80</f>
        <v>Vine</v>
      </c>
      <c r="D84" s="51" t="str">
        <f ca="1">'Fruit Trees'!E80</f>
        <v>1-1.5'</v>
      </c>
      <c r="E84" s="64">
        <f ca="1">'Fruit Trees'!F80</f>
        <v>121</v>
      </c>
      <c r="F84" s="65">
        <f ca="1">'Fruit Trees'!G80</f>
        <v>45</v>
      </c>
    </row>
    <row r="85" spans="1:6" ht="12.75" x14ac:dyDescent="0.2">
      <c r="A85" s="51" t="str">
        <f ca="1">'Fruit Trees'!A81</f>
        <v>Grape - Concord</v>
      </c>
      <c r="B85" s="51" t="str">
        <f ca="1">'Fruit Trees'!C81</f>
        <v>#5</v>
      </c>
      <c r="C85" s="51" t="str">
        <f ca="1">'Fruit Trees'!D81</f>
        <v>Vine</v>
      </c>
      <c r="D85" s="51" t="str">
        <f ca="1">'Fruit Trees'!E81</f>
        <v>1-3'</v>
      </c>
      <c r="E85" s="64">
        <f ca="1">'Fruit Trees'!F81</f>
        <v>26</v>
      </c>
      <c r="F85" s="65">
        <f ca="1">'Fruit Trees'!G81</f>
        <v>50</v>
      </c>
    </row>
    <row r="86" spans="1:6" ht="12.75" x14ac:dyDescent="0.2">
      <c r="A86" s="51" t="str">
        <f ca="1">'Fruit Trees'!A82</f>
        <v>Grape - Mars (Seedless)</v>
      </c>
      <c r="B86" s="51" t="str">
        <f ca="1">'Fruit Trees'!C82</f>
        <v>#5</v>
      </c>
      <c r="C86" s="51" t="str">
        <f ca="1">'Fruit Trees'!D82</f>
        <v>Vine</v>
      </c>
      <c r="D86" s="51" t="str">
        <f ca="1">'Fruit Trees'!E82</f>
        <v>4-5'</v>
      </c>
      <c r="E86" s="64">
        <f ca="1">'Fruit Trees'!F82</f>
        <v>32</v>
      </c>
      <c r="F86" s="65">
        <f ca="1">'Fruit Trees'!G82</f>
        <v>37</v>
      </c>
    </row>
    <row r="87" spans="1:6" ht="12.75" x14ac:dyDescent="0.2">
      <c r="A87" s="51" t="str">
        <f ca="1">'Fruit Trees'!A83</f>
        <v>Grape - Reliance Red (Seedless)</v>
      </c>
      <c r="B87" s="51" t="str">
        <f ca="1">'Fruit Trees'!C83</f>
        <v>#5</v>
      </c>
      <c r="C87" s="51" t="str">
        <f ca="1">'Fruit Trees'!D83</f>
        <v>Vine</v>
      </c>
      <c r="D87" s="51" t="str">
        <f ca="1">'Fruit Trees'!E83</f>
        <v>3-5'</v>
      </c>
      <c r="E87" s="64">
        <f ca="1">'Fruit Trees'!F83</f>
        <v>34</v>
      </c>
      <c r="F87" s="65">
        <f ca="1">'Fruit Trees'!G83</f>
        <v>37</v>
      </c>
    </row>
    <row r="88" spans="1:6" ht="12.75" x14ac:dyDescent="0.2">
      <c r="A88" s="51" t="str">
        <f ca="1">'Fruit Trees'!A84</f>
        <v>Grape- Himrod (Seedless)</v>
      </c>
      <c r="B88" s="51" t="str">
        <f ca="1">'Fruit Trees'!C84</f>
        <v>#5</v>
      </c>
      <c r="C88" s="51" t="str">
        <f ca="1">'Fruit Trees'!D84</f>
        <v>Vine</v>
      </c>
      <c r="D88" s="51" t="str">
        <f ca="1">'Fruit Trees'!E84</f>
        <v>3-4'</v>
      </c>
      <c r="E88" s="64">
        <f ca="1">'Fruit Trees'!F84</f>
        <v>32</v>
      </c>
      <c r="F88" s="65">
        <f ca="1">'Fruit Trees'!G84</f>
        <v>37</v>
      </c>
    </row>
    <row r="89" spans="1:6" ht="12.75" x14ac:dyDescent="0.2">
      <c r="A89" s="51" t="str">
        <f ca="1">'Fruit Trees'!A85</f>
        <v>Hazelnut - Jefferson</v>
      </c>
      <c r="B89" s="51" t="str">
        <f ca="1">'Fruit Trees'!C85</f>
        <v>#15</v>
      </c>
      <c r="C89" s="51" t="str">
        <f ca="1">'Fruit Trees'!D85</f>
        <v>1-1.25"</v>
      </c>
      <c r="D89" s="51" t="str">
        <f ca="1">'Fruit Trees'!E85</f>
        <v>7-9'</v>
      </c>
      <c r="E89" s="64">
        <f ca="1">'Fruit Trees'!F85</f>
        <v>12</v>
      </c>
      <c r="F89" s="65">
        <f ca="1">'Fruit Trees'!G85</f>
        <v>135</v>
      </c>
    </row>
    <row r="90" spans="1:6" ht="12.75" x14ac:dyDescent="0.2">
      <c r="A90" s="51" t="str">
        <f ca="1">'Fruit Trees'!A86</f>
        <v xml:space="preserve">Hazelnut - McDonald </v>
      </c>
      <c r="B90" s="51" t="str">
        <f ca="1">'Fruit Trees'!C86</f>
        <v>#15</v>
      </c>
      <c r="C90" s="51" t="str">
        <f ca="1">'Fruit Trees'!D86</f>
        <v>1.25-1.5"</v>
      </c>
      <c r="D90" s="51" t="str">
        <f ca="1">'Fruit Trees'!E86</f>
        <v>9-10'</v>
      </c>
      <c r="E90" s="64">
        <f ca="1">'Fruit Trees'!F86</f>
        <v>18</v>
      </c>
      <c r="F90" s="65">
        <f ca="1">'Fruit Trees'!G86</f>
        <v>135</v>
      </c>
    </row>
    <row r="91" spans="1:6" ht="12.75" x14ac:dyDescent="0.2">
      <c r="A91" s="51" t="str">
        <f ca="1">'Fruit Trees'!A87</f>
        <v xml:space="preserve">Hazelnut - Wepster </v>
      </c>
      <c r="B91" s="51" t="str">
        <f ca="1">'Fruit Trees'!C87</f>
        <v>#15</v>
      </c>
      <c r="C91" s="51" t="str">
        <f ca="1">'Fruit Trees'!D87</f>
        <v>0.75-1"</v>
      </c>
      <c r="D91" s="51" t="str">
        <f ca="1">'Fruit Trees'!E87</f>
        <v>5-7'</v>
      </c>
      <c r="E91" s="64">
        <f ca="1">'Fruit Trees'!F87</f>
        <v>16</v>
      </c>
      <c r="F91" s="65">
        <f ca="1">'Fruit Trees'!G87</f>
        <v>135</v>
      </c>
    </row>
    <row r="92" spans="1:6" ht="12.75" x14ac:dyDescent="0.2">
      <c r="A92" s="51" t="str">
        <f ca="1">'Fruit Trees'!A88</f>
        <v>Jujube - GA 866</v>
      </c>
      <c r="B92" s="51" t="str">
        <f ca="1">'Fruit Trees'!C88</f>
        <v>#5</v>
      </c>
      <c r="C92" s="51" t="str">
        <f ca="1">'Fruit Trees'!D88</f>
        <v>0.75-1"</v>
      </c>
      <c r="D92" s="51" t="str">
        <f ca="1">'Fruit Trees'!E88</f>
        <v>4.5-10'</v>
      </c>
      <c r="E92" s="64">
        <f ca="1">'Fruit Trees'!F88</f>
        <v>212</v>
      </c>
      <c r="F92" s="65">
        <f ca="1">'Fruit Trees'!G88</f>
        <v>100</v>
      </c>
    </row>
    <row r="93" spans="1:6" ht="12.75" x14ac:dyDescent="0.2">
      <c r="A93" s="51" t="str">
        <f ca="1">'Fruit Trees'!A89</f>
        <v>Jujube - GA 866</v>
      </c>
      <c r="B93" s="51" t="str">
        <f ca="1">'Fruit Trees'!C89</f>
        <v>#7</v>
      </c>
      <c r="C93" s="51" t="str">
        <f ca="1">'Fruit Trees'!D89</f>
        <v>0.75-1"</v>
      </c>
      <c r="D93" s="51" t="str">
        <f ca="1">'Fruit Trees'!E89</f>
        <v>7-10'</v>
      </c>
      <c r="E93" s="64">
        <f ca="1">'Fruit Trees'!F89</f>
        <v>13</v>
      </c>
      <c r="F93" s="65">
        <f ca="1">'Fruit Trees'!G89</f>
        <v>100</v>
      </c>
    </row>
    <row r="94" spans="1:6" ht="12.75" x14ac:dyDescent="0.2">
      <c r="A94" s="51" t="str">
        <f ca="1">'Fruit Trees'!A90</f>
        <v>Jujube - Honey Jar</v>
      </c>
      <c r="B94" s="51" t="str">
        <f ca="1">'Fruit Trees'!C90</f>
        <v>#5</v>
      </c>
      <c r="C94" s="51" t="str">
        <f ca="1">'Fruit Trees'!D90</f>
        <v>0.5-0.75"</v>
      </c>
      <c r="D94" s="51" t="str">
        <f ca="1">'Fruit Trees'!E90</f>
        <v>4-5'</v>
      </c>
      <c r="E94" s="64">
        <f ca="1">'Fruit Trees'!F90</f>
        <v>19</v>
      </c>
      <c r="F94" s="65">
        <f ca="1">'Fruit Trees'!G90</f>
        <v>100</v>
      </c>
    </row>
    <row r="95" spans="1:6" ht="12.75" x14ac:dyDescent="0.2">
      <c r="A95" s="51" t="str">
        <f ca="1">'Fruit Trees'!A91</f>
        <v>Jujube - Lang</v>
      </c>
      <c r="B95" s="51" t="str">
        <f ca="1">'Fruit Trees'!C91</f>
        <v>#5</v>
      </c>
      <c r="C95" s="51" t="str">
        <f ca="1">'Fruit Trees'!D91</f>
        <v>0.5-1"</v>
      </c>
      <c r="D95" s="51" t="str">
        <f ca="1">'Fruit Trees'!E91</f>
        <v>4.5-8'</v>
      </c>
      <c r="E95" s="64">
        <f ca="1">'Fruit Trees'!F91</f>
        <v>59</v>
      </c>
      <c r="F95" s="65">
        <f ca="1">'Fruit Trees'!G91</f>
        <v>100</v>
      </c>
    </row>
    <row r="96" spans="1:6" ht="12.75" x14ac:dyDescent="0.2">
      <c r="A96" s="51" t="str">
        <f ca="1">'Fruit Trees'!A92</f>
        <v>Jujube - Lang</v>
      </c>
      <c r="B96" s="51" t="str">
        <f ca="1">'Fruit Trees'!C92</f>
        <v>#7</v>
      </c>
      <c r="C96" s="51" t="str">
        <f ca="1">'Fruit Trees'!D92</f>
        <v>1-1"</v>
      </c>
      <c r="D96" s="51" t="str">
        <f ca="1">'Fruit Trees'!E92</f>
        <v>8-9'</v>
      </c>
      <c r="E96" s="64">
        <f ca="1">'Fruit Trees'!F92</f>
        <v>3</v>
      </c>
      <c r="F96" s="65">
        <f ca="1">'Fruit Trees'!G92</f>
        <v>100</v>
      </c>
    </row>
    <row r="97" spans="1:6" ht="12.75" x14ac:dyDescent="0.2">
      <c r="A97" s="51" t="str">
        <f ca="1">'Fruit Trees'!A93</f>
        <v>Jujube - Li</v>
      </c>
      <c r="B97" s="51" t="str">
        <f ca="1">'Fruit Trees'!C93</f>
        <v>#5</v>
      </c>
      <c r="C97" s="51" t="str">
        <f ca="1">'Fruit Trees'!D93</f>
        <v>0.5-1"</v>
      </c>
      <c r="D97" s="51" t="str">
        <f ca="1">'Fruit Trees'!E93</f>
        <v>4-9'</v>
      </c>
      <c r="E97" s="64">
        <f ca="1">'Fruit Trees'!F93</f>
        <v>203</v>
      </c>
      <c r="F97" s="65">
        <f ca="1">'Fruit Trees'!G93</f>
        <v>100</v>
      </c>
    </row>
    <row r="98" spans="1:6" ht="12.75" x14ac:dyDescent="0.2">
      <c r="A98" s="51" t="str">
        <f ca="1">'Fruit Trees'!A94</f>
        <v>Jujube - Li</v>
      </c>
      <c r="B98" s="51" t="str">
        <f ca="1">'Fruit Trees'!C94</f>
        <v>#7</v>
      </c>
      <c r="C98" s="51" t="str">
        <f ca="1">'Fruit Trees'!D94</f>
        <v>0.75-1"</v>
      </c>
      <c r="D98" s="51" t="str">
        <f ca="1">'Fruit Trees'!E94</f>
        <v>7-11'</v>
      </c>
      <c r="E98" s="64">
        <f ca="1">'Fruit Trees'!F94</f>
        <v>4</v>
      </c>
      <c r="F98" s="65">
        <f ca="1">'Fruit Trees'!G94</f>
        <v>100</v>
      </c>
    </row>
    <row r="99" spans="1:6" ht="12.75" x14ac:dyDescent="0.2">
      <c r="A99" s="51" t="str">
        <f ca="1">'Fruit Trees'!A95</f>
        <v>Jujube - Sugar Cane</v>
      </c>
      <c r="B99" s="51" t="str">
        <f ca="1">'Fruit Trees'!C95</f>
        <v>#5</v>
      </c>
      <c r="C99" s="51" t="str">
        <f ca="1">'Fruit Trees'!D95</f>
        <v>0.5-1"</v>
      </c>
      <c r="D99" s="51" t="str">
        <f ca="1">'Fruit Trees'!E95</f>
        <v>4-8'</v>
      </c>
      <c r="E99" s="64">
        <f ca="1">'Fruit Trees'!F95</f>
        <v>194</v>
      </c>
      <c r="F99" s="65">
        <f ca="1">'Fruit Trees'!G95</f>
        <v>100</v>
      </c>
    </row>
    <row r="100" spans="1:6" ht="12.75" x14ac:dyDescent="0.2">
      <c r="A100" s="51" t="str">
        <f ca="1">'Fruit Trees'!A96</f>
        <v>Jujube - Sugar Cane</v>
      </c>
      <c r="B100" s="51" t="str">
        <f ca="1">'Fruit Trees'!C96</f>
        <v>#7</v>
      </c>
      <c r="C100" s="51" t="str">
        <f ca="1">'Fruit Trees'!D96</f>
        <v>0.75-1"</v>
      </c>
      <c r="D100" s="51" t="str">
        <f ca="1">'Fruit Trees'!E96</f>
        <v>7-8'</v>
      </c>
      <c r="E100" s="64">
        <f ca="1">'Fruit Trees'!F96</f>
        <v>5</v>
      </c>
      <c r="F100" s="65">
        <f ca="1">'Fruit Trees'!G96</f>
        <v>100</v>
      </c>
    </row>
    <row r="101" spans="1:6" ht="12.75" x14ac:dyDescent="0.2">
      <c r="A101" s="51" t="str">
        <f ca="1">'Fruit Trees'!A97</f>
        <v>Mulberry - Everbearing</v>
      </c>
      <c r="B101" s="51" t="str">
        <f ca="1">'Fruit Trees'!C97</f>
        <v>#5</v>
      </c>
      <c r="C101" s="51" t="str">
        <f ca="1">'Fruit Trees'!D97</f>
        <v>Multi</v>
      </c>
      <c r="D101" s="51" t="str">
        <f ca="1">'Fruit Trees'!E97</f>
        <v>1-3'</v>
      </c>
      <c r="E101" s="64">
        <f ca="1">'Fruit Trees'!F97</f>
        <v>55</v>
      </c>
      <c r="F101" s="65">
        <f ca="1">'Fruit Trees'!G97</f>
        <v>50</v>
      </c>
    </row>
    <row r="102" spans="1:6" ht="12.75" x14ac:dyDescent="0.2">
      <c r="A102" s="51" t="str">
        <f ca="1">'Fruit Trees'!A98</f>
        <v>Mulberry - Red</v>
      </c>
      <c r="B102" s="51" t="str">
        <f ca="1">'Fruit Trees'!C98</f>
        <v>#5</v>
      </c>
      <c r="C102" s="51" t="str">
        <f ca="1">'Fruit Trees'!D98</f>
        <v>0.5-1.5"</v>
      </c>
      <c r="D102" s="51" t="str">
        <f ca="1">'Fruit Trees'!E98</f>
        <v>4-9'</v>
      </c>
      <c r="E102" s="64">
        <f ca="1">'Fruit Trees'!F98</f>
        <v>43</v>
      </c>
      <c r="F102" s="65">
        <f ca="1">'Fruit Trees'!G98</f>
        <v>50</v>
      </c>
    </row>
    <row r="103" spans="1:6" ht="12.75" x14ac:dyDescent="0.2">
      <c r="A103" s="51" t="str">
        <f ca="1">'Fruit Trees'!A99</f>
        <v>Nectarine - Flavortop</v>
      </c>
      <c r="B103" s="51" t="str">
        <f ca="1">'Fruit Trees'!C99</f>
        <v>#5</v>
      </c>
      <c r="C103" s="51" t="str">
        <f ca="1">'Fruit Trees'!D99</f>
        <v>1-1.25"</v>
      </c>
      <c r="D103" s="51" t="str">
        <f ca="1">'Fruit Trees'!E99</f>
        <v>6-8'</v>
      </c>
      <c r="E103" s="64">
        <f ca="1">'Fruit Trees'!F99</f>
        <v>10</v>
      </c>
      <c r="F103" s="65">
        <f ca="1">'Fruit Trees'!G99</f>
        <v>55</v>
      </c>
    </row>
    <row r="104" spans="1:6" ht="12.75" x14ac:dyDescent="0.2">
      <c r="A104" s="51" t="str">
        <f ca="1">'Fruit Trees'!A100</f>
        <v>Nectarine - Independence</v>
      </c>
      <c r="B104" s="51" t="str">
        <f ca="1">'Fruit Trees'!C100</f>
        <v>#5</v>
      </c>
      <c r="C104" s="51" t="str">
        <f ca="1">'Fruit Trees'!D100</f>
        <v>1-1"</v>
      </c>
      <c r="D104" s="51" t="str">
        <f ca="1">'Fruit Trees'!E100</f>
        <v>5-7'</v>
      </c>
      <c r="E104" s="64">
        <f ca="1">'Fruit Trees'!F100</f>
        <v>36</v>
      </c>
      <c r="F104" s="65">
        <f ca="1">'Fruit Trees'!G100</f>
        <v>55</v>
      </c>
    </row>
    <row r="105" spans="1:6" ht="12.75" x14ac:dyDescent="0.2">
      <c r="A105" s="51" t="str">
        <f ca="1">'Fruit Trees'!A101</f>
        <v>Nectarine - Redgold</v>
      </c>
      <c r="B105" s="51" t="str">
        <f ca="1">'Fruit Trees'!C101</f>
        <v>#5</v>
      </c>
      <c r="C105" s="51" t="str">
        <f ca="1">'Fruit Trees'!D101</f>
        <v>0.75-1"</v>
      </c>
      <c r="D105" s="51" t="str">
        <f ca="1">'Fruit Trees'!E101</f>
        <v>4-6'</v>
      </c>
      <c r="E105" s="64">
        <f ca="1">'Fruit Trees'!F101</f>
        <v>35</v>
      </c>
      <c r="F105" s="65">
        <f ca="1">'Fruit Trees'!G101</f>
        <v>55</v>
      </c>
    </row>
    <row r="106" spans="1:6" ht="12.75" x14ac:dyDescent="0.2">
      <c r="A106" s="51" t="str">
        <f ca="1">'Fruit Trees'!A102</f>
        <v>Nectarine (White) - Arctic Glo</v>
      </c>
      <c r="B106" s="51" t="str">
        <f ca="1">'Fruit Trees'!C102</f>
        <v>#5</v>
      </c>
      <c r="C106" s="51" t="str">
        <f ca="1">'Fruit Trees'!D102</f>
        <v>0.75-1"</v>
      </c>
      <c r="D106" s="51" t="str">
        <f ca="1">'Fruit Trees'!E102</f>
        <v>4-6.5'</v>
      </c>
      <c r="E106" s="64">
        <f ca="1">'Fruit Trees'!F102</f>
        <v>109</v>
      </c>
      <c r="F106" s="65">
        <f ca="1">'Fruit Trees'!G102</f>
        <v>55</v>
      </c>
    </row>
    <row r="107" spans="1:6" ht="12.75" x14ac:dyDescent="0.2">
      <c r="A107" s="51" t="str">
        <f ca="1">'Fruit Trees'!A103</f>
        <v>Nectarine (White) - Arctic Glo</v>
      </c>
      <c r="B107" s="51" t="str">
        <f ca="1">'Fruit Trees'!C103</f>
        <v>#7</v>
      </c>
      <c r="C107" s="51" t="str">
        <f ca="1">'Fruit Trees'!D103</f>
        <v>0.75-1.5"</v>
      </c>
      <c r="D107" s="51" t="str">
        <f ca="1">'Fruit Trees'!E103</f>
        <v>4-9'</v>
      </c>
      <c r="E107" s="64">
        <f ca="1">'Fruit Trees'!F103</f>
        <v>12</v>
      </c>
      <c r="F107" s="65">
        <f ca="1">'Fruit Trees'!G103</f>
        <v>80</v>
      </c>
    </row>
    <row r="108" spans="1:6" ht="12.75" x14ac:dyDescent="0.2">
      <c r="A108" s="51" t="str">
        <f ca="1">'Fruit Trees'!A104</f>
        <v>Nectarine (White) - Arctic Sweet</v>
      </c>
      <c r="B108" s="51" t="str">
        <f ca="1">'Fruit Trees'!C104</f>
        <v>#7</v>
      </c>
      <c r="C108" s="51" t="str">
        <f ca="1">'Fruit Trees'!D104</f>
        <v>1.25-1.5"</v>
      </c>
      <c r="D108" s="51" t="str">
        <f ca="1">'Fruit Trees'!E104</f>
        <v>9-10'</v>
      </c>
      <c r="E108" s="64">
        <f ca="1">'Fruit Trees'!F104</f>
        <v>15</v>
      </c>
      <c r="F108" s="65">
        <f ca="1">'Fruit Trees'!G104</f>
        <v>80</v>
      </c>
    </row>
    <row r="109" spans="1:6" ht="12.75" x14ac:dyDescent="0.2">
      <c r="A109" s="51" t="str">
        <f ca="1">'Fruit Trees'!A105</f>
        <v>Pawpaw</v>
      </c>
      <c r="B109" s="51" t="str">
        <f ca="1">'Fruit Trees'!C105</f>
        <v>#5</v>
      </c>
      <c r="C109" s="51" t="str">
        <f ca="1">'Fruit Trees'!D105</f>
        <v>0.25-0.5"</v>
      </c>
      <c r="D109" s="51" t="str">
        <f ca="1">'Fruit Trees'!E105</f>
        <v>1-4'</v>
      </c>
      <c r="E109" s="64">
        <f ca="1">'Fruit Trees'!F105</f>
        <v>178</v>
      </c>
      <c r="F109" s="65">
        <f ca="1">'Fruit Trees'!G105</f>
        <v>50</v>
      </c>
    </row>
    <row r="110" spans="1:6" ht="12.75" x14ac:dyDescent="0.2">
      <c r="A110" s="51" t="str">
        <f ca="1">'Fruit Trees'!A106</f>
        <v>Pawpaw</v>
      </c>
      <c r="B110" s="51" t="str">
        <f ca="1">'Fruit Trees'!C106</f>
        <v>#10</v>
      </c>
      <c r="C110" s="51" t="str">
        <f ca="1">'Fruit Trees'!D106</f>
        <v>Multi</v>
      </c>
      <c r="D110" s="51" t="str">
        <f ca="1">'Fruit Trees'!E106</f>
        <v>4-4'</v>
      </c>
      <c r="E110" s="64">
        <f ca="1">'Fruit Trees'!F106</f>
        <v>1</v>
      </c>
      <c r="F110" s="65">
        <f ca="1">'Fruit Trees'!G106</f>
        <v>100</v>
      </c>
    </row>
    <row r="111" spans="1:6" ht="12.75" x14ac:dyDescent="0.2">
      <c r="A111" s="51" t="str">
        <f ca="1">'Fruit Trees'!A107</f>
        <v>Pawpaw - Allegheny</v>
      </c>
      <c r="B111" s="51" t="str">
        <f ca="1">'Fruit Trees'!C107</f>
        <v>#5</v>
      </c>
      <c r="C111" s="51" t="str">
        <f ca="1">'Fruit Trees'!D107</f>
        <v>0.25-0.5"</v>
      </c>
      <c r="D111" s="51" t="str">
        <f ca="1">'Fruit Trees'!E107</f>
        <v>2-3'</v>
      </c>
      <c r="E111" s="64">
        <f ca="1">'Fruit Trees'!F107</f>
        <v>51</v>
      </c>
      <c r="F111" s="65">
        <f ca="1">'Fruit Trees'!G107</f>
        <v>100</v>
      </c>
    </row>
    <row r="112" spans="1:6" ht="12.75" x14ac:dyDescent="0.2">
      <c r="A112" s="51" t="str">
        <f ca="1">'Fruit Trees'!A108</f>
        <v>Pawpaw - Mango</v>
      </c>
      <c r="B112" s="51" t="str">
        <f ca="1">'Fruit Trees'!C108</f>
        <v>#5</v>
      </c>
      <c r="C112" s="51" t="str">
        <f ca="1">'Fruit Trees'!D108</f>
        <v>0.25-0.5"</v>
      </c>
      <c r="D112" s="51" t="str">
        <f ca="1">'Fruit Trees'!E108</f>
        <v>2-2.5'</v>
      </c>
      <c r="E112" s="64">
        <f ca="1">'Fruit Trees'!F108</f>
        <v>66</v>
      </c>
      <c r="F112" s="65">
        <f ca="1">'Fruit Trees'!G108</f>
        <v>100</v>
      </c>
    </row>
    <row r="113" spans="1:6" ht="12.75" x14ac:dyDescent="0.2">
      <c r="A113" s="51" t="str">
        <f ca="1">'Fruit Trees'!A109</f>
        <v>Pawpaw - NC-1</v>
      </c>
      <c r="B113" s="51" t="str">
        <f ca="1">'Fruit Trees'!C109</f>
        <v>#5</v>
      </c>
      <c r="C113" s="51" t="str">
        <f ca="1">'Fruit Trees'!D109</f>
        <v>0.25-0.5"</v>
      </c>
      <c r="D113" s="51" t="str">
        <f ca="1">'Fruit Trees'!E109</f>
        <v>2-3.5'</v>
      </c>
      <c r="E113" s="64">
        <f ca="1">'Fruit Trees'!F109</f>
        <v>54</v>
      </c>
      <c r="F113" s="65">
        <f ca="1">'Fruit Trees'!G109</f>
        <v>100</v>
      </c>
    </row>
    <row r="114" spans="1:6" ht="12.75" x14ac:dyDescent="0.2">
      <c r="A114" s="51" t="str">
        <f ca="1">'Fruit Trees'!A110</f>
        <v>Pawpaw - Potomac</v>
      </c>
      <c r="B114" s="51" t="str">
        <f ca="1">'Fruit Trees'!C110</f>
        <v>#5</v>
      </c>
      <c r="C114" s="51" t="str">
        <f ca="1">'Fruit Trees'!D110</f>
        <v>0.25-0.5"</v>
      </c>
      <c r="D114" s="51" t="str">
        <f ca="1">'Fruit Trees'!E110</f>
        <v>1-3'</v>
      </c>
      <c r="E114" s="64">
        <f ca="1">'Fruit Trees'!F110</f>
        <v>62</v>
      </c>
      <c r="F114" s="65">
        <f ca="1">'Fruit Trees'!G110</f>
        <v>100</v>
      </c>
    </row>
    <row r="115" spans="1:6" ht="12.75" x14ac:dyDescent="0.2">
      <c r="A115" s="51" t="str">
        <f ca="1">'Fruit Trees'!A111</f>
        <v>Pawpaw - Shenandoah</v>
      </c>
      <c r="B115" s="51" t="str">
        <f ca="1">'Fruit Trees'!C111</f>
        <v>#5</v>
      </c>
      <c r="C115" s="51" t="str">
        <f ca="1">'Fruit Trees'!D111</f>
        <v>0.25-0.5"</v>
      </c>
      <c r="D115" s="51" t="str">
        <f ca="1">'Fruit Trees'!E111</f>
        <v>1-2'</v>
      </c>
      <c r="E115" s="64">
        <f ca="1">'Fruit Trees'!F111</f>
        <v>60</v>
      </c>
      <c r="F115" s="65">
        <f ca="1">'Fruit Trees'!G111</f>
        <v>100</v>
      </c>
    </row>
    <row r="116" spans="1:6" ht="12.75" x14ac:dyDescent="0.2">
      <c r="A116" s="51" t="str">
        <f ca="1">'Fruit Trees'!A112</f>
        <v>Pawpaw - Susquehanna</v>
      </c>
      <c r="B116" s="51" t="str">
        <f ca="1">'Fruit Trees'!C112</f>
        <v>#5</v>
      </c>
      <c r="C116" s="51" t="str">
        <f ca="1">'Fruit Trees'!D112</f>
        <v>0.5-0.5"</v>
      </c>
      <c r="D116" s="51" t="str">
        <f ca="1">'Fruit Trees'!E112</f>
        <v>1.5-2.5'</v>
      </c>
      <c r="E116" s="64">
        <f ca="1">'Fruit Trees'!F112</f>
        <v>62</v>
      </c>
      <c r="F116" s="65">
        <f ca="1">'Fruit Trees'!G112</f>
        <v>100</v>
      </c>
    </row>
    <row r="117" spans="1:6" ht="12.75" x14ac:dyDescent="0.2">
      <c r="A117" s="51" t="str">
        <f ca="1">'Fruit Trees'!A113</f>
        <v>Pawpaw - Wabash</v>
      </c>
      <c r="B117" s="51" t="str">
        <f ca="1">'Fruit Trees'!C113</f>
        <v>#5</v>
      </c>
      <c r="C117" s="51" t="str">
        <f ca="1">'Fruit Trees'!D113</f>
        <v>0.25-0.5"</v>
      </c>
      <c r="D117" s="51" t="str">
        <f ca="1">'Fruit Trees'!E113</f>
        <v>1-3'</v>
      </c>
      <c r="E117" s="64">
        <f ca="1">'Fruit Trees'!F113</f>
        <v>11</v>
      </c>
      <c r="F117" s="65">
        <f ca="1">'Fruit Trees'!G113</f>
        <v>100</v>
      </c>
    </row>
    <row r="118" spans="1:6" ht="12.75" x14ac:dyDescent="0.2">
      <c r="A118" s="51" t="str">
        <f ca="1">'Fruit Trees'!A114</f>
        <v>Peach - Contender</v>
      </c>
      <c r="B118" s="51" t="str">
        <f ca="1">'Fruit Trees'!C114</f>
        <v>#5</v>
      </c>
      <c r="C118" s="51" t="str">
        <f ca="1">'Fruit Trees'!D114</f>
        <v>0.75-1"</v>
      </c>
      <c r="D118" s="51" t="str">
        <f ca="1">'Fruit Trees'!E114</f>
        <v>4-6'</v>
      </c>
      <c r="E118" s="64">
        <f ca="1">'Fruit Trees'!F114</f>
        <v>73</v>
      </c>
      <c r="F118" s="65">
        <f ca="1">'Fruit Trees'!G114</f>
        <v>55</v>
      </c>
    </row>
    <row r="119" spans="1:6" ht="12.75" x14ac:dyDescent="0.2">
      <c r="A119" s="51" t="str">
        <f ca="1">'Fruit Trees'!A115</f>
        <v>Peach - Cresthaven</v>
      </c>
      <c r="B119" s="51" t="str">
        <f ca="1">'Fruit Trees'!C115</f>
        <v>#5</v>
      </c>
      <c r="C119" s="51" t="str">
        <f ca="1">'Fruit Trees'!D115</f>
        <v>0.75-0.75"</v>
      </c>
      <c r="D119" s="51" t="str">
        <f ca="1">'Fruit Trees'!E115</f>
        <v>4-4'</v>
      </c>
      <c r="E119" s="64">
        <f ca="1">'Fruit Trees'!F115</f>
        <v>1</v>
      </c>
      <c r="F119" s="65">
        <f ca="1">'Fruit Trees'!G115</f>
        <v>55</v>
      </c>
    </row>
    <row r="120" spans="1:6" ht="12.75" x14ac:dyDescent="0.2">
      <c r="A120" s="51" t="str">
        <f ca="1">'Fruit Trees'!A116</f>
        <v>Peach - Elberta</v>
      </c>
      <c r="B120" s="51" t="str">
        <f ca="1">'Fruit Trees'!C116</f>
        <v>#5</v>
      </c>
      <c r="C120" s="51" t="str">
        <f ca="1">'Fruit Trees'!D116</f>
        <v>0.5-1.25"</v>
      </c>
      <c r="D120" s="51" t="str">
        <f ca="1">'Fruit Trees'!E116</f>
        <v>3.5-6'</v>
      </c>
      <c r="E120" s="64">
        <f ca="1">'Fruit Trees'!F116</f>
        <v>67</v>
      </c>
      <c r="F120" s="65">
        <f ca="1">'Fruit Trees'!G116</f>
        <v>55</v>
      </c>
    </row>
    <row r="121" spans="1:6" ht="12.75" x14ac:dyDescent="0.2">
      <c r="A121" s="51" t="str">
        <f ca="1">'Fruit Trees'!A117</f>
        <v>Peach - Harvester</v>
      </c>
      <c r="B121" s="51" t="str">
        <f ca="1">'Fruit Trees'!C117</f>
        <v>#5</v>
      </c>
      <c r="C121" s="51" t="str">
        <f ca="1">'Fruit Trees'!D117</f>
        <v>0.75-1.25"</v>
      </c>
      <c r="D121" s="51" t="str">
        <f ca="1">'Fruit Trees'!E117</f>
        <v>4-8'</v>
      </c>
      <c r="E121" s="64">
        <f ca="1">'Fruit Trees'!F117</f>
        <v>59</v>
      </c>
      <c r="F121" s="65">
        <f ca="1">'Fruit Trees'!G117</f>
        <v>55</v>
      </c>
    </row>
    <row r="122" spans="1:6" ht="12.75" x14ac:dyDescent="0.2">
      <c r="A122" s="51" t="str">
        <f ca="1">'Fruit Trees'!A118</f>
        <v>Peach - Redhaven</v>
      </c>
      <c r="B122" s="51" t="str">
        <f ca="1">'Fruit Trees'!C118</f>
        <v>#5</v>
      </c>
      <c r="C122" s="51" t="str">
        <f ca="1">'Fruit Trees'!D118</f>
        <v>0.75-1"</v>
      </c>
      <c r="D122" s="51" t="str">
        <f ca="1">'Fruit Trees'!E118</f>
        <v>4-7'</v>
      </c>
      <c r="E122" s="64">
        <f ca="1">'Fruit Trees'!F118</f>
        <v>70</v>
      </c>
      <c r="F122" s="65">
        <f ca="1">'Fruit Trees'!G118</f>
        <v>55</v>
      </c>
    </row>
    <row r="123" spans="1:6" ht="12.75" x14ac:dyDescent="0.2">
      <c r="A123" s="51" t="str">
        <f ca="1">'Fruit Trees'!A119</f>
        <v>Peach - Redskin</v>
      </c>
      <c r="B123" s="51" t="str">
        <f ca="1">'Fruit Trees'!C119</f>
        <v>#5</v>
      </c>
      <c r="C123" s="51" t="str">
        <f ca="1">'Fruit Trees'!D119</f>
        <v>0.75-1"</v>
      </c>
      <c r="D123" s="51" t="str">
        <f ca="1">'Fruit Trees'!E119</f>
        <v>4-6'</v>
      </c>
      <c r="E123" s="64">
        <f ca="1">'Fruit Trees'!F119</f>
        <v>5</v>
      </c>
      <c r="F123" s="65">
        <f ca="1">'Fruit Trees'!G119</f>
        <v>55</v>
      </c>
    </row>
    <row r="124" spans="1:6" ht="12.75" x14ac:dyDescent="0.2">
      <c r="A124" s="51" t="str">
        <f ca="1">'Fruit Trees'!A120</f>
        <v>Peach - Sugar May</v>
      </c>
      <c r="B124" s="51" t="str">
        <f ca="1">'Fruit Trees'!C120</f>
        <v>#5</v>
      </c>
      <c r="C124" s="51" t="str">
        <f ca="1">'Fruit Trees'!D120</f>
        <v>0.5-0.75"</v>
      </c>
      <c r="D124" s="51" t="str">
        <f ca="1">'Fruit Trees'!E120</f>
        <v>4-4'</v>
      </c>
      <c r="E124" s="64">
        <f ca="1">'Fruit Trees'!F120</f>
        <v>3</v>
      </c>
      <c r="F124" s="65">
        <f ca="1">'Fruit Trees'!G120</f>
        <v>55</v>
      </c>
    </row>
    <row r="125" spans="1:6" ht="12.75" x14ac:dyDescent="0.2">
      <c r="A125" s="51" t="str">
        <f ca="1">'Fruit Trees'!A121</f>
        <v>Peach (Donut White) - Galaxy</v>
      </c>
      <c r="B125" s="51" t="str">
        <f ca="1">'Fruit Trees'!C121</f>
        <v>#5</v>
      </c>
      <c r="C125" s="51" t="str">
        <f ca="1">'Fruit Trees'!D121</f>
        <v>0.5-1.25"</v>
      </c>
      <c r="D125" s="51" t="str">
        <f ca="1">'Fruit Trees'!E121</f>
        <v>4-7'</v>
      </c>
      <c r="E125" s="64">
        <f ca="1">'Fruit Trees'!F121</f>
        <v>72</v>
      </c>
      <c r="F125" s="65">
        <f ca="1">'Fruit Trees'!G121</f>
        <v>55</v>
      </c>
    </row>
    <row r="126" spans="1:6" ht="12.75" x14ac:dyDescent="0.2">
      <c r="A126" s="51" t="str">
        <f ca="1">'Fruit Trees'!A122</f>
        <v>Peach (Donut White) - Saturn</v>
      </c>
      <c r="B126" s="51" t="str">
        <f ca="1">'Fruit Trees'!C122</f>
        <v>#5</v>
      </c>
      <c r="C126" s="51" t="str">
        <f ca="1">'Fruit Trees'!D122</f>
        <v>0.5-1"</v>
      </c>
      <c r="D126" s="51" t="str">
        <f ca="1">'Fruit Trees'!E122</f>
        <v>4-7.5'</v>
      </c>
      <c r="E126" s="64">
        <f ca="1">'Fruit Trees'!F122</f>
        <v>125</v>
      </c>
      <c r="F126" s="65">
        <f ca="1">'Fruit Trees'!G122</f>
        <v>55</v>
      </c>
    </row>
    <row r="127" spans="1:6" ht="12.75" x14ac:dyDescent="0.2">
      <c r="A127" s="51" t="str">
        <f ca="1">'Fruit Trees'!A123</f>
        <v>Peach (White) - Giant Babcock</v>
      </c>
      <c r="B127" s="51" t="str">
        <f ca="1">'Fruit Trees'!C123</f>
        <v>#5</v>
      </c>
      <c r="C127" s="51" t="str">
        <f ca="1">'Fruit Trees'!D123</f>
        <v>0.75-1"</v>
      </c>
      <c r="D127" s="51" t="str">
        <f ca="1">'Fruit Trees'!E123</f>
        <v>5-6.5'</v>
      </c>
      <c r="E127" s="64">
        <f ca="1">'Fruit Trees'!F123</f>
        <v>18</v>
      </c>
      <c r="F127" s="65">
        <f ca="1">'Fruit Trees'!G123</f>
        <v>55</v>
      </c>
    </row>
    <row r="128" spans="1:6" ht="12.75" x14ac:dyDescent="0.2">
      <c r="A128" s="51" t="str">
        <f ca="1">'Fruit Trees'!A124</f>
        <v>Peach (White) - Snow Giant</v>
      </c>
      <c r="B128" s="51" t="str">
        <f ca="1">'Fruit Trees'!C124</f>
        <v>#5</v>
      </c>
      <c r="C128" s="51" t="str">
        <f ca="1">'Fruit Trees'!D124</f>
        <v>0.25-1"</v>
      </c>
      <c r="D128" s="51" t="str">
        <f ca="1">'Fruit Trees'!E124</f>
        <v>3-6'</v>
      </c>
      <c r="E128" s="64">
        <f ca="1">'Fruit Trees'!F124</f>
        <v>91</v>
      </c>
      <c r="F128" s="65">
        <f ca="1">'Fruit Trees'!G124</f>
        <v>55</v>
      </c>
    </row>
    <row r="129" spans="1:8" ht="12.75" x14ac:dyDescent="0.2">
      <c r="A129" s="51" t="str">
        <f ca="1">'Fruit Trees'!A125</f>
        <v>Peach (White) - Sugar Giant</v>
      </c>
      <c r="B129" s="51" t="str">
        <f ca="1">'Fruit Trees'!C125</f>
        <v>#5</v>
      </c>
      <c r="C129" s="51" t="str">
        <f ca="1">'Fruit Trees'!D125</f>
        <v>0.5-1"</v>
      </c>
      <c r="D129" s="51" t="str">
        <f ca="1">'Fruit Trees'!E125</f>
        <v>4-7'</v>
      </c>
      <c r="E129" s="64">
        <f ca="1">'Fruit Trees'!F125</f>
        <v>64</v>
      </c>
      <c r="F129" s="65">
        <f ca="1">'Fruit Trees'!G125</f>
        <v>55</v>
      </c>
    </row>
    <row r="130" spans="1:8" ht="12.75" x14ac:dyDescent="0.2">
      <c r="A130" s="51" t="str">
        <f ca="1">'Fruit Trees'!A126</f>
        <v>Peach (White) - White Lady</v>
      </c>
      <c r="B130" s="51" t="str">
        <f ca="1">'Fruit Trees'!C126</f>
        <v>#5</v>
      </c>
      <c r="C130" s="51" t="str">
        <f ca="1">'Fruit Trees'!D126</f>
        <v>0.5-1.25"</v>
      </c>
      <c r="D130" s="51" t="str">
        <f ca="1">'Fruit Trees'!E126</f>
        <v>4-7'</v>
      </c>
      <c r="E130" s="64">
        <f ca="1">'Fruit Trees'!F126</f>
        <v>171</v>
      </c>
      <c r="F130" s="65">
        <f ca="1">'Fruit Trees'!G126</f>
        <v>55</v>
      </c>
    </row>
    <row r="131" spans="1:8" ht="12.75" x14ac:dyDescent="0.2">
      <c r="A131" s="51" t="str">
        <f ca="1">'Fruit Trees'!A127</f>
        <v>Pear - Ayers</v>
      </c>
      <c r="B131" s="51" t="str">
        <f ca="1">'Fruit Trees'!C127</f>
        <v>#5</v>
      </c>
      <c r="C131" s="51" t="str">
        <f ca="1">'Fruit Trees'!D127</f>
        <v>0.75-1.5"</v>
      </c>
      <c r="D131" s="51" t="str">
        <f ca="1">'Fruit Trees'!E127</f>
        <v>7-10'</v>
      </c>
      <c r="E131" s="64">
        <f ca="1">'Fruit Trees'!F127</f>
        <v>118</v>
      </c>
      <c r="F131" s="65">
        <f ca="1">'Fruit Trees'!G127</f>
        <v>55</v>
      </c>
    </row>
    <row r="132" spans="1:8" ht="12.75" x14ac:dyDescent="0.2">
      <c r="A132" s="51" t="str">
        <f ca="1">'Fruit Trees'!A128</f>
        <v>Pear - Ayers</v>
      </c>
      <c r="B132" s="51" t="str">
        <f ca="1">'Fruit Trees'!C128</f>
        <v>#7</v>
      </c>
      <c r="C132" s="51" t="str">
        <f ca="1">'Fruit Trees'!D128</f>
        <v>1-1.25"</v>
      </c>
      <c r="D132" s="51" t="str">
        <f ca="1">'Fruit Trees'!E128</f>
        <v>10-13'</v>
      </c>
      <c r="E132" s="64">
        <f ca="1">'Fruit Trees'!F128</f>
        <v>5</v>
      </c>
      <c r="F132" s="65">
        <f ca="1">'Fruit Trees'!G128</f>
        <v>80</v>
      </c>
    </row>
    <row r="133" spans="1:8" ht="12.75" x14ac:dyDescent="0.2">
      <c r="A133" s="51" t="str">
        <f ca="1">'Fruit Trees'!A129</f>
        <v>Pear - Bartlett</v>
      </c>
      <c r="B133" s="51" t="str">
        <f ca="1">'Fruit Trees'!C129</f>
        <v>#5</v>
      </c>
      <c r="C133" s="51" t="str">
        <f ca="1">'Fruit Trees'!D129</f>
        <v>0.5-1.25"</v>
      </c>
      <c r="D133" s="51" t="str">
        <f ca="1">'Fruit Trees'!E129</f>
        <v>5-10'</v>
      </c>
      <c r="E133" s="64">
        <f ca="1">'Fruit Trees'!F129</f>
        <v>228</v>
      </c>
      <c r="F133" s="65">
        <f ca="1">'Fruit Trees'!G129</f>
        <v>55</v>
      </c>
    </row>
    <row r="134" spans="1:8" ht="12.75" x14ac:dyDescent="0.2">
      <c r="A134" s="51" t="str">
        <f ca="1">'Fruit Trees'!A130</f>
        <v>Pear - Bartlett</v>
      </c>
      <c r="B134" s="51" t="str">
        <f ca="1">'Fruit Trees'!C130</f>
        <v>#7</v>
      </c>
      <c r="C134" s="51" t="str">
        <f ca="1">'Fruit Trees'!D130</f>
        <v>1-1.75"</v>
      </c>
      <c r="D134" s="51" t="str">
        <f ca="1">'Fruit Trees'!E130</f>
        <v>6.5-11'</v>
      </c>
      <c r="E134" s="64">
        <f ca="1">'Fruit Trees'!F130</f>
        <v>162</v>
      </c>
      <c r="F134" s="65">
        <f ca="1">'Fruit Trees'!G130</f>
        <v>80</v>
      </c>
    </row>
    <row r="135" spans="1:8" ht="12.75" x14ac:dyDescent="0.2">
      <c r="A135" s="51" t="str">
        <f ca="1">'Fruit Trees'!A131</f>
        <v>Pear - Bartlett</v>
      </c>
      <c r="B135" s="51" t="str">
        <f ca="1">'Fruit Trees'!C131</f>
        <v>#10</v>
      </c>
      <c r="C135" s="51" t="str">
        <f ca="1">'Fruit Trees'!D131</f>
        <v>1-1.25"</v>
      </c>
      <c r="D135" s="51" t="str">
        <f ca="1">'Fruit Trees'!E131</f>
        <v>7-9'</v>
      </c>
      <c r="E135" s="64">
        <f ca="1">'Fruit Trees'!F131</f>
        <v>19</v>
      </c>
      <c r="F135" s="65">
        <f ca="1">'Fruit Trees'!G131</f>
        <v>100</v>
      </c>
    </row>
    <row r="136" spans="1:8" ht="12.75" x14ac:dyDescent="0.2">
      <c r="A136" s="51" t="str">
        <f ca="1">'Fruit Trees'!A132</f>
        <v>Pear - Golden Russet Bosc</v>
      </c>
      <c r="B136" s="51" t="str">
        <f ca="1">'Fruit Trees'!C132</f>
        <v>#5</v>
      </c>
      <c r="C136" s="51" t="str">
        <f ca="1">'Fruit Trees'!D132</f>
        <v>1-1.25"</v>
      </c>
      <c r="D136" s="51" t="str">
        <f ca="1">'Fruit Trees'!E132</f>
        <v>7-10'</v>
      </c>
      <c r="E136" s="64">
        <f ca="1">'Fruit Trees'!F132</f>
        <v>2</v>
      </c>
      <c r="F136" s="65">
        <f ca="1">'Fruit Trees'!G132</f>
        <v>55</v>
      </c>
    </row>
    <row r="137" spans="1:8" ht="12.75" x14ac:dyDescent="0.2">
      <c r="A137" s="51" t="str">
        <f ca="1">'Fruit Trees'!A133</f>
        <v>Pear - Golden Russet Bosc</v>
      </c>
      <c r="B137" s="51" t="str">
        <f ca="1">'Fruit Trees'!C133</f>
        <v>#7</v>
      </c>
      <c r="C137" s="51" t="str">
        <f ca="1">'Fruit Trees'!D133</f>
        <v>0.75-1.25"</v>
      </c>
      <c r="D137" s="51" t="str">
        <f ca="1">'Fruit Trees'!E133</f>
        <v>6-11'</v>
      </c>
      <c r="E137" s="64">
        <f ca="1">'Fruit Trees'!F133</f>
        <v>25</v>
      </c>
      <c r="F137" s="65">
        <f ca="1">'Fruit Trees'!G133</f>
        <v>80</v>
      </c>
    </row>
    <row r="138" spans="1:8" ht="12.75" x14ac:dyDescent="0.2">
      <c r="A138" s="51" t="str">
        <f ca="1">'Fruit Trees'!A134</f>
        <v>Pear - Harrowsweet</v>
      </c>
      <c r="B138" s="51" t="str">
        <f ca="1">'Fruit Trees'!C134</f>
        <v>#5</v>
      </c>
      <c r="C138" s="51" t="str">
        <f ca="1">'Fruit Trees'!D134</f>
        <v>0.5-1"</v>
      </c>
      <c r="D138" s="51" t="str">
        <f ca="1">'Fruit Trees'!E134</f>
        <v>6-8'</v>
      </c>
      <c r="E138" s="64">
        <f ca="1">'Fruit Trees'!F134</f>
        <v>44</v>
      </c>
      <c r="F138" s="65">
        <f ca="1">'Fruit Trees'!G134</f>
        <v>55</v>
      </c>
      <c r="H138" s="47"/>
    </row>
    <row r="139" spans="1:8" ht="12.75" x14ac:dyDescent="0.2">
      <c r="A139" s="51" t="str">
        <f ca="1">'Fruit Trees'!A135</f>
        <v>Pear - Harrowsweet</v>
      </c>
      <c r="B139" s="51" t="str">
        <f ca="1">'Fruit Trees'!C135</f>
        <v>#7</v>
      </c>
      <c r="C139" s="51" t="str">
        <f ca="1">'Fruit Trees'!D135</f>
        <v>1-1.25"</v>
      </c>
      <c r="D139" s="51" t="str">
        <f ca="1">'Fruit Trees'!E135</f>
        <v>7-10'</v>
      </c>
      <c r="E139" s="64">
        <f ca="1">'Fruit Trees'!F135</f>
        <v>52</v>
      </c>
      <c r="F139" s="65">
        <f ca="1">'Fruit Trees'!G135</f>
        <v>80</v>
      </c>
      <c r="H139" s="47"/>
    </row>
    <row r="140" spans="1:8" ht="12.75" x14ac:dyDescent="0.2">
      <c r="A140" s="51" t="str">
        <f ca="1">'Fruit Trees'!A136</f>
        <v>Pear - Kieffer</v>
      </c>
      <c r="B140" s="51" t="str">
        <f ca="1">'Fruit Trees'!C136</f>
        <v>#5</v>
      </c>
      <c r="C140" s="51" t="str">
        <f ca="1">'Fruit Trees'!D136</f>
        <v>1-1.25"</v>
      </c>
      <c r="D140" s="51" t="str">
        <f ca="1">'Fruit Trees'!E136</f>
        <v>6-12'</v>
      </c>
      <c r="E140" s="64">
        <f ca="1">'Fruit Trees'!F136</f>
        <v>58</v>
      </c>
      <c r="F140" s="65">
        <f ca="1">'Fruit Trees'!G136</f>
        <v>55</v>
      </c>
      <c r="H140" s="47"/>
    </row>
    <row r="141" spans="1:8" ht="12.75" x14ac:dyDescent="0.2">
      <c r="A141" s="51" t="str">
        <f ca="1">'Fruit Trees'!A137</f>
        <v>Pear - Kieffer</v>
      </c>
      <c r="B141" s="51" t="str">
        <f ca="1">'Fruit Trees'!C137</f>
        <v>#15</v>
      </c>
      <c r="C141" s="51" t="str">
        <f ca="1">'Fruit Trees'!D137</f>
        <v>1.5-1.75"</v>
      </c>
      <c r="D141" s="51" t="str">
        <f ca="1">'Fruit Trees'!E137</f>
        <v>11-12'</v>
      </c>
      <c r="E141" s="64">
        <f ca="1">'Fruit Trees'!F137</f>
        <v>3</v>
      </c>
      <c r="F141" s="65">
        <f ca="1">'Fruit Trees'!G137</f>
        <v>150</v>
      </c>
      <c r="H141" s="47"/>
    </row>
    <row r="142" spans="1:8" ht="12.75" x14ac:dyDescent="0.2">
      <c r="A142" s="51" t="str">
        <f ca="1">'Fruit Trees'!A138</f>
        <v>Pear - Kieffer</v>
      </c>
      <c r="B142" s="51" t="str">
        <f ca="1">'Fruit Trees'!C138</f>
        <v>#7</v>
      </c>
      <c r="C142" s="51" t="str">
        <f ca="1">'Fruit Trees'!D138</f>
        <v>1-1.5"</v>
      </c>
      <c r="D142" s="51" t="str">
        <f ca="1">'Fruit Trees'!E138</f>
        <v>8-12'</v>
      </c>
      <c r="E142" s="64">
        <f ca="1">'Fruit Trees'!F138</f>
        <v>35</v>
      </c>
      <c r="F142" s="65">
        <f ca="1">'Fruit Trees'!G138</f>
        <v>80</v>
      </c>
      <c r="H142" s="47"/>
    </row>
    <row r="143" spans="1:8" ht="12.75" x14ac:dyDescent="0.2">
      <c r="A143" s="51" t="str">
        <f ca="1">'Fruit Trees'!A139</f>
        <v>Pear - Kieffer</v>
      </c>
      <c r="B143" s="51" t="str">
        <f ca="1">'Fruit Trees'!C139</f>
        <v>#10</v>
      </c>
      <c r="C143" s="51" t="str">
        <f ca="1">'Fruit Trees'!D139</f>
        <v>1.25-1.5"</v>
      </c>
      <c r="D143" s="51" t="str">
        <f ca="1">'Fruit Trees'!E139</f>
        <v>8-10'</v>
      </c>
      <c r="E143" s="64">
        <f ca="1">'Fruit Trees'!F139</f>
        <v>1</v>
      </c>
      <c r="F143" s="65">
        <f ca="1">'Fruit Trees'!G139</f>
        <v>100</v>
      </c>
      <c r="H143" s="47"/>
    </row>
    <row r="144" spans="1:8" ht="12.75" x14ac:dyDescent="0.2">
      <c r="A144" s="51" t="str">
        <f ca="1">'Fruit Trees'!A140</f>
        <v>Pear - Moonglow</v>
      </c>
      <c r="B144" s="51" t="str">
        <f ca="1">'Fruit Trees'!C140</f>
        <v>#5</v>
      </c>
      <c r="C144" s="51" t="str">
        <f ca="1">'Fruit Trees'!D140</f>
        <v>0.75-1"</v>
      </c>
      <c r="D144" s="51" t="str">
        <f ca="1">'Fruit Trees'!E140</f>
        <v>5-10'</v>
      </c>
      <c r="E144" s="64">
        <f ca="1">'Fruit Trees'!F140</f>
        <v>244</v>
      </c>
      <c r="F144" s="65">
        <f ca="1">'Fruit Trees'!G140</f>
        <v>55</v>
      </c>
      <c r="H144" s="47"/>
    </row>
    <row r="145" spans="1:8" ht="12.75" x14ac:dyDescent="0.2">
      <c r="A145" s="51" t="str">
        <f ca="1">'Fruit Trees'!A141</f>
        <v>Pear - Moonglow</v>
      </c>
      <c r="B145" s="51" t="str">
        <f ca="1">'Fruit Trees'!C141</f>
        <v>#7</v>
      </c>
      <c r="C145" s="51" t="str">
        <f ca="1">'Fruit Trees'!D141</f>
        <v>0.75-1.5"</v>
      </c>
      <c r="D145" s="51" t="str">
        <f ca="1">'Fruit Trees'!E141</f>
        <v>6-10'</v>
      </c>
      <c r="E145" s="64">
        <f ca="1">'Fruit Trees'!F141</f>
        <v>31</v>
      </c>
      <c r="F145" s="65">
        <f ca="1">'Fruit Trees'!G141</f>
        <v>80</v>
      </c>
      <c r="H145" s="47"/>
    </row>
    <row r="146" spans="1:8" ht="12.75" x14ac:dyDescent="0.2">
      <c r="A146" s="51" t="str">
        <f ca="1">'Fruit Trees'!A142</f>
        <v>Pear - Moonglow</v>
      </c>
      <c r="B146" s="51" t="str">
        <f ca="1">'Fruit Trees'!C142</f>
        <v>#10</v>
      </c>
      <c r="C146" s="51" t="str">
        <f ca="1">'Fruit Trees'!D142</f>
        <v>1.5-1.75"</v>
      </c>
      <c r="D146" s="51" t="str">
        <f ca="1">'Fruit Trees'!E142</f>
        <v>8.5-10'</v>
      </c>
      <c r="E146" s="64">
        <f ca="1">'Fruit Trees'!F142</f>
        <v>15</v>
      </c>
      <c r="F146" s="65">
        <f ca="1">'Fruit Trees'!G142</f>
        <v>100</v>
      </c>
      <c r="H146" s="47"/>
    </row>
    <row r="147" spans="1:8" ht="12.75" x14ac:dyDescent="0.2">
      <c r="A147" s="51" t="str">
        <f ca="1">'Fruit Trees'!A143</f>
        <v>Pear - Potomac</v>
      </c>
      <c r="B147" s="51" t="str">
        <f ca="1">'Fruit Trees'!C143</f>
        <v>#7</v>
      </c>
      <c r="C147" s="51" t="str">
        <f ca="1">'Fruit Trees'!D143</f>
        <v>1-1.25"</v>
      </c>
      <c r="D147" s="51" t="str">
        <f ca="1">'Fruit Trees'!E143</f>
        <v>7-10'</v>
      </c>
      <c r="E147" s="64">
        <f ca="1">'Fruit Trees'!F143</f>
        <v>21</v>
      </c>
      <c r="F147" s="65">
        <f ca="1">'Fruit Trees'!G143</f>
        <v>80</v>
      </c>
      <c r="H147" s="47"/>
    </row>
    <row r="148" spans="1:8" ht="12.75" x14ac:dyDescent="0.2">
      <c r="A148" s="51" t="str">
        <f ca="1">'Fruit Trees'!A144</f>
        <v>Persimmon - Fuyu</v>
      </c>
      <c r="B148" s="51" t="str">
        <f ca="1">'Fruit Trees'!C144</f>
        <v>#5</v>
      </c>
      <c r="C148" s="51" t="str">
        <f ca="1">'Fruit Trees'!D144</f>
        <v>0.5-1"</v>
      </c>
      <c r="D148" s="51" t="str">
        <f ca="1">'Fruit Trees'!E144</f>
        <v>4-8'</v>
      </c>
      <c r="E148" s="64">
        <f ca="1">'Fruit Trees'!F144</f>
        <v>204</v>
      </c>
      <c r="F148" s="65">
        <f ca="1">'Fruit Trees'!G144</f>
        <v>100</v>
      </c>
      <c r="H148" s="47"/>
    </row>
    <row r="149" spans="1:8" ht="12.75" x14ac:dyDescent="0.2">
      <c r="A149" s="51" t="str">
        <f ca="1">'Fruit Trees'!A145</f>
        <v>Persimmon - Fuyu</v>
      </c>
      <c r="B149" s="51" t="str">
        <f ca="1">'Fruit Trees'!C145</f>
        <v>#7</v>
      </c>
      <c r="C149" s="51" t="str">
        <f ca="1">'Fruit Trees'!D145</f>
        <v>0.5-0.75"</v>
      </c>
      <c r="D149" s="51" t="str">
        <f ca="1">'Fruit Trees'!E145</f>
        <v>3-5'</v>
      </c>
      <c r="E149" s="64">
        <f ca="1">'Fruit Trees'!F145</f>
        <v>1</v>
      </c>
      <c r="F149" s="65">
        <f ca="1">'Fruit Trees'!G145</f>
        <v>100</v>
      </c>
      <c r="H149" s="47"/>
    </row>
    <row r="150" spans="1:8" ht="12.75" x14ac:dyDescent="0.2">
      <c r="A150" s="51" t="str">
        <f ca="1">'Fruit Trees'!A146</f>
        <v>Persimmon - Giant Fuyu</v>
      </c>
      <c r="B150" s="51" t="str">
        <f ca="1">'Fruit Trees'!C146</f>
        <v>#5</v>
      </c>
      <c r="C150" s="51" t="str">
        <f ca="1">'Fruit Trees'!D146</f>
        <v>0.5-1"</v>
      </c>
      <c r="D150" s="51" t="str">
        <f ca="1">'Fruit Trees'!E146</f>
        <v>4-7'</v>
      </c>
      <c r="E150" s="64">
        <f ca="1">'Fruit Trees'!F146</f>
        <v>29</v>
      </c>
      <c r="F150" s="65">
        <f ca="1">'Fruit Trees'!G146</f>
        <v>100</v>
      </c>
      <c r="H150" s="47"/>
    </row>
    <row r="151" spans="1:8" ht="12.75" x14ac:dyDescent="0.2">
      <c r="A151" s="51" t="str">
        <f ca="1">'Fruit Trees'!A147</f>
        <v>Persimmon - Hachiya</v>
      </c>
      <c r="B151" s="51" t="str">
        <f ca="1">'Fruit Trees'!C147</f>
        <v>#5</v>
      </c>
      <c r="C151" s="51" t="str">
        <f ca="1">'Fruit Trees'!D147</f>
        <v>0.75-1"</v>
      </c>
      <c r="D151" s="51" t="str">
        <f ca="1">'Fruit Trees'!E147</f>
        <v>5-6'</v>
      </c>
      <c r="E151" s="64">
        <f ca="1">'Fruit Trees'!F147</f>
        <v>21</v>
      </c>
      <c r="F151" s="65">
        <f ca="1">'Fruit Trees'!G147</f>
        <v>100</v>
      </c>
      <c r="H151" s="47"/>
    </row>
    <row r="152" spans="1:8" ht="12.75" x14ac:dyDescent="0.2">
      <c r="A152" s="51" t="str">
        <f ca="1">'Fruit Trees'!A148</f>
        <v>Persimmon - Lotus</v>
      </c>
      <c r="B152" s="51" t="str">
        <f ca="1">'Fruit Trees'!C148</f>
        <v>#5</v>
      </c>
      <c r="C152" s="51" t="str">
        <f ca="1">'Fruit Trees'!D148</f>
        <v>0.25-1"</v>
      </c>
      <c r="D152" s="51" t="str">
        <f ca="1">'Fruit Trees'!E148</f>
        <v>5-8'</v>
      </c>
      <c r="E152" s="64">
        <f ca="1">'Fruit Trees'!F148</f>
        <v>35</v>
      </c>
      <c r="F152" s="65">
        <f ca="1">'Fruit Trees'!G148</f>
        <v>50</v>
      </c>
      <c r="H152" s="47"/>
    </row>
    <row r="153" spans="1:8" ht="12.75" x14ac:dyDescent="0.2">
      <c r="A153" s="51" t="str">
        <f ca="1">'Fruit Trees'!A149</f>
        <v>Persimmon - Rosseyanka</v>
      </c>
      <c r="B153" s="51" t="str">
        <f ca="1">'Fruit Trees'!C149</f>
        <v>#7</v>
      </c>
      <c r="C153" s="51" t="str">
        <f ca="1">'Fruit Trees'!D149</f>
        <v>0.25-1"</v>
      </c>
      <c r="D153" s="51" t="str">
        <f ca="1">'Fruit Trees'!E149</f>
        <v>4-6.5'</v>
      </c>
      <c r="E153" s="64">
        <f ca="1">'Fruit Trees'!F149</f>
        <v>16</v>
      </c>
      <c r="F153" s="65">
        <f ca="1">'Fruit Trees'!G149</f>
        <v>100</v>
      </c>
      <c r="H153" s="47"/>
    </row>
    <row r="154" spans="1:8" ht="12.75" x14ac:dyDescent="0.2">
      <c r="A154" s="51" t="str">
        <f ca="1">'Fruit Trees'!A150</f>
        <v>Plum - Green Gage</v>
      </c>
      <c r="B154" s="51" t="str">
        <f ca="1">'Fruit Trees'!C150</f>
        <v>#7</v>
      </c>
      <c r="C154" s="51" t="str">
        <f ca="1">'Fruit Trees'!D150</f>
        <v>1-1.5"</v>
      </c>
      <c r="D154" s="51" t="str">
        <f ca="1">'Fruit Trees'!E150</f>
        <v>10-12'</v>
      </c>
      <c r="E154" s="64">
        <f ca="1">'Fruit Trees'!F150</f>
        <v>46</v>
      </c>
      <c r="F154" s="65">
        <f ca="1">'Fruit Trees'!G150</f>
        <v>80</v>
      </c>
      <c r="H154" s="47"/>
    </row>
    <row r="155" spans="1:8" ht="12.75" x14ac:dyDescent="0.2">
      <c r="A155" s="51" t="str">
        <f ca="1">'Fruit Trees'!A151</f>
        <v>Plum - NY9</v>
      </c>
      <c r="B155" s="51" t="str">
        <f ca="1">'Fruit Trees'!C151</f>
        <v>#5</v>
      </c>
      <c r="C155" s="51" t="str">
        <f ca="1">'Fruit Trees'!D151</f>
        <v>0.5-1"</v>
      </c>
      <c r="D155" s="51" t="str">
        <f ca="1">'Fruit Trees'!E151</f>
        <v>7-9'</v>
      </c>
      <c r="E155" s="64">
        <f ca="1">'Fruit Trees'!F151</f>
        <v>53</v>
      </c>
      <c r="F155" s="65">
        <f ca="1">'Fruit Trees'!G151</f>
        <v>80</v>
      </c>
      <c r="H155" s="47"/>
    </row>
    <row r="156" spans="1:8" ht="12.75" x14ac:dyDescent="0.2">
      <c r="A156" s="51" t="str">
        <f ca="1">'Fruit Trees'!A152</f>
        <v>Plum - NY9</v>
      </c>
      <c r="B156" s="51" t="str">
        <f ca="1">'Fruit Trees'!C152</f>
        <v>#7</v>
      </c>
      <c r="C156" s="51" t="str">
        <f ca="1">'Fruit Trees'!D152</f>
        <v>0.5-1.25"</v>
      </c>
      <c r="D156" s="51" t="str">
        <f ca="1">'Fruit Trees'!E152</f>
        <v>7-9.5'</v>
      </c>
      <c r="E156" s="64">
        <f ca="1">'Fruit Trees'!F152</f>
        <v>20</v>
      </c>
      <c r="F156" s="65">
        <f ca="1">'Fruit Trees'!G152</f>
        <v>80</v>
      </c>
      <c r="H156" s="47"/>
    </row>
    <row r="157" spans="1:8" ht="12.75" x14ac:dyDescent="0.2">
      <c r="A157" s="51" t="str">
        <f ca="1">'Fruit Trees'!A153</f>
        <v>Plum - Santa Rosa</v>
      </c>
      <c r="B157" s="51" t="str">
        <f ca="1">'Fruit Trees'!C153</f>
        <v>#5</v>
      </c>
      <c r="C157" s="51" t="str">
        <f ca="1">'Fruit Trees'!D153</f>
        <v>0.5-1.5"</v>
      </c>
      <c r="D157" s="51" t="str">
        <f ca="1">'Fruit Trees'!E153</f>
        <v>5-12'</v>
      </c>
      <c r="E157" s="64">
        <f ca="1">'Fruit Trees'!F153</f>
        <v>92</v>
      </c>
      <c r="F157" s="65">
        <f ca="1">'Fruit Trees'!G153</f>
        <v>55</v>
      </c>
      <c r="H157" s="47"/>
    </row>
    <row r="158" spans="1:8" ht="12.75" x14ac:dyDescent="0.2">
      <c r="A158" s="51" t="str">
        <f ca="1">'Fruit Trees'!A154</f>
        <v>Plum - Santa Rosa</v>
      </c>
      <c r="B158" s="51" t="str">
        <f ca="1">'Fruit Trees'!C154</f>
        <v>#7</v>
      </c>
      <c r="C158" s="51" t="str">
        <f ca="1">'Fruit Trees'!D154</f>
        <v>0.75-1.25"</v>
      </c>
      <c r="D158" s="51" t="str">
        <f ca="1">'Fruit Trees'!E154</f>
        <v>5-7'</v>
      </c>
      <c r="E158" s="64">
        <f ca="1">'Fruit Trees'!F154</f>
        <v>34</v>
      </c>
      <c r="F158" s="65">
        <f ca="1">'Fruit Trees'!G154</f>
        <v>80</v>
      </c>
      <c r="H158" s="47"/>
    </row>
    <row r="159" spans="1:8" ht="12.75" x14ac:dyDescent="0.2">
      <c r="A159" s="51" t="str">
        <f ca="1">'Fruit Trees'!A155</f>
        <v>Plum - Stanley (Prune)</v>
      </c>
      <c r="B159" s="51" t="str">
        <f ca="1">'Fruit Trees'!C155</f>
        <v>#5</v>
      </c>
      <c r="C159" s="51" t="str">
        <f ca="1">'Fruit Trees'!D155</f>
        <v>0.75-1.25"</v>
      </c>
      <c r="D159" s="51" t="str">
        <f ca="1">'Fruit Trees'!E155</f>
        <v>5-7'</v>
      </c>
      <c r="E159" s="64">
        <f ca="1">'Fruit Trees'!F155</f>
        <v>73</v>
      </c>
      <c r="F159" s="65">
        <f ca="1">'Fruit Trees'!G155</f>
        <v>55</v>
      </c>
      <c r="H159" s="47"/>
    </row>
    <row r="160" spans="1:8" ht="12.75" x14ac:dyDescent="0.2">
      <c r="A160" s="51" t="str">
        <f ca="1">'Fruit Trees'!A156</f>
        <v>Raspberry - Heritage (Red)</v>
      </c>
      <c r="B160" s="51" t="str">
        <f ca="1">'Fruit Trees'!C156</f>
        <v>#5</v>
      </c>
      <c r="C160" s="51" t="str">
        <f ca="1">'Fruit Trees'!D156</f>
        <v>Multi</v>
      </c>
      <c r="D160" s="51" t="str">
        <f ca="1">'Fruit Trees'!E156</f>
        <v>0.5-2.5'</v>
      </c>
      <c r="E160" s="64">
        <f ca="1">'Fruit Trees'!F156</f>
        <v>273</v>
      </c>
      <c r="F160" s="65">
        <f ca="1">'Fruit Trees'!G156</f>
        <v>35</v>
      </c>
      <c r="H160" s="47"/>
    </row>
    <row r="161" spans="1:8" ht="12.75" x14ac:dyDescent="0.2">
      <c r="A161" s="51" t="str">
        <f ca="1">'Fruit Trees'!A157</f>
        <v>Raspberry - Nantahala</v>
      </c>
      <c r="B161" s="51" t="str">
        <f ca="1">'Fruit Trees'!C157</f>
        <v>#5</v>
      </c>
      <c r="C161" s="51" t="str">
        <f ca="1">'Fruit Trees'!D157</f>
        <v>Multi</v>
      </c>
      <c r="D161" s="51" t="str">
        <f ca="1">'Fruit Trees'!E157</f>
        <v>1-2'</v>
      </c>
      <c r="E161" s="64">
        <f ca="1">'Fruit Trees'!F157</f>
        <v>55</v>
      </c>
      <c r="F161" s="65">
        <f ca="1">'Fruit Trees'!G157</f>
        <v>35</v>
      </c>
      <c r="H161" s="47"/>
    </row>
    <row r="162" spans="1:8" ht="12.75" x14ac:dyDescent="0.2">
      <c r="A162" s="51" t="str">
        <f ca="1">'Fruit Trees'!A158</f>
        <v>Raspberry - Royalty (Purple)</v>
      </c>
      <c r="B162" s="51" t="str">
        <f ca="1">'Fruit Trees'!C158</f>
        <v>#5</v>
      </c>
      <c r="C162" s="51" t="str">
        <f ca="1">'Fruit Trees'!D158</f>
        <v>Vine</v>
      </c>
      <c r="D162" s="51" t="str">
        <f ca="1">'Fruit Trees'!E158</f>
        <v>2-4'</v>
      </c>
      <c r="E162" s="64">
        <f ca="1">'Fruit Trees'!F158</f>
        <v>30</v>
      </c>
      <c r="F162" s="65">
        <f ca="1">'Fruit Trees'!G158</f>
        <v>35</v>
      </c>
      <c r="H162" s="47"/>
    </row>
    <row r="163" spans="1:8" ht="12.75" x14ac:dyDescent="0.2">
      <c r="A163" s="51" t="str">
        <f ca="1">'Fruit Trees'!A159</f>
        <v>Raspberry (Yellow) - Anne</v>
      </c>
      <c r="B163" s="51" t="str">
        <f ca="1">'Fruit Trees'!C159</f>
        <v>#5</v>
      </c>
      <c r="C163" s="51" t="str">
        <f ca="1">'Fruit Trees'!D159</f>
        <v>Multi</v>
      </c>
      <c r="D163" s="51" t="str">
        <f ca="1">'Fruit Trees'!E159</f>
        <v>1-3'</v>
      </c>
      <c r="E163" s="64">
        <f ca="1">'Fruit Trees'!F159</f>
        <v>67</v>
      </c>
      <c r="F163" s="65">
        <f ca="1">'Fruit Trees'!G159</f>
        <v>35</v>
      </c>
      <c r="H163" s="47"/>
    </row>
    <row r="164" spans="1:8" ht="12.75" x14ac:dyDescent="0.2">
      <c r="A164" s="51" t="str">
        <f ca="1">'Fruit Trees'!A160</f>
        <v>Stone Fruits - Misshapen/Damaged Trees (Discounted)</v>
      </c>
      <c r="B164" s="51" t="str">
        <f ca="1">'Fruit Trees'!C160</f>
        <v>#5</v>
      </c>
      <c r="C164" s="51" t="str">
        <f ca="1">'Fruit Trees'!D160</f>
        <v>0-0"</v>
      </c>
      <c r="D164" s="51" t="str">
        <f ca="1">'Fruit Trees'!E160</f>
        <v>0-0'</v>
      </c>
      <c r="E164" s="64">
        <f ca="1">'Fruit Trees'!F160</f>
        <v>172</v>
      </c>
      <c r="F164" s="65">
        <f ca="1">'Fruit Trees'!G160</f>
        <v>30</v>
      </c>
      <c r="H164" s="47"/>
    </row>
    <row r="165" spans="1:8" ht="12.75" x14ac:dyDescent="0.2">
      <c r="A165" s="51" t="str">
        <f ca="1">'Fruit Trees'!A161</f>
        <v>Walnut - Mesa Carpathian</v>
      </c>
      <c r="B165" s="51" t="str">
        <f ca="1">'Fruit Trees'!C161</f>
        <v>#5 Tall Plastic</v>
      </c>
      <c r="C165" s="51" t="str">
        <f ca="1">'Fruit Trees'!D161</f>
        <v>1-1.5"</v>
      </c>
      <c r="D165" s="51" t="str">
        <f ca="1">'Fruit Trees'!E161</f>
        <v>6-7'</v>
      </c>
      <c r="E165" s="64">
        <f ca="1">'Fruit Trees'!F161</f>
        <v>8</v>
      </c>
      <c r="F165" s="65">
        <f ca="1">'Fruit Trees'!G161</f>
        <v>100</v>
      </c>
      <c r="H165" s="47"/>
    </row>
    <row r="166" spans="1:8" ht="12.75" x14ac:dyDescent="0.2">
      <c r="A166" s="51" t="str">
        <f ca="1">'Fruit Trees'!A162</f>
        <v>zx - 1.5"x1.5"x6' Stakes</v>
      </c>
      <c r="B166" s="51">
        <f>'Fruit Trees'!C162</f>
        <v>0</v>
      </c>
      <c r="C166" s="51" t="str">
        <f ca="1">'Fruit Trees'!D162</f>
        <v>0-0"</v>
      </c>
      <c r="D166" s="51" t="str">
        <f ca="1">'Fruit Trees'!E162</f>
        <v>0-0'</v>
      </c>
      <c r="E166" s="64">
        <f ca="1">'Fruit Trees'!F162</f>
        <v>2408</v>
      </c>
      <c r="F166" s="65">
        <f ca="1">'Fruit Trees'!G162</f>
        <v>3</v>
      </c>
      <c r="H166" s="47"/>
    </row>
    <row r="167" spans="1:8" ht="12.75" x14ac:dyDescent="0.2">
      <c r="A167" s="51" t="str">
        <f ca="1">'Fruit Trees'!A163</f>
        <v>zx - 10' Orchard Ladder (extendable leg)</v>
      </c>
      <c r="B167" s="51">
        <f>'Fruit Trees'!C163</f>
        <v>0</v>
      </c>
      <c r="C167" s="51" t="str">
        <f ca="1">'Fruit Trees'!D163</f>
        <v>0-0"</v>
      </c>
      <c r="D167" s="51" t="str">
        <f ca="1">'Fruit Trees'!E163</f>
        <v>0-0'</v>
      </c>
      <c r="E167" s="64">
        <f ca="1">'Fruit Trees'!F163</f>
        <v>11</v>
      </c>
      <c r="F167" s="65">
        <f ca="1">'Fruit Trees'!G163</f>
        <v>500</v>
      </c>
      <c r="H167" s="47"/>
    </row>
    <row r="168" spans="1:8" ht="12.75" x14ac:dyDescent="0.2">
      <c r="A168" s="51" t="str">
        <f ca="1">'Fruit Trees'!A164</f>
        <v>zx - 10' Orchard Ladder (fixed)</v>
      </c>
      <c r="B168" s="51">
        <f>'Fruit Trees'!C164</f>
        <v>0</v>
      </c>
      <c r="C168" s="51" t="str">
        <f ca="1">'Fruit Trees'!D164</f>
        <v>0-0"</v>
      </c>
      <c r="D168" s="51" t="str">
        <f ca="1">'Fruit Trees'!E164</f>
        <v>0-0'</v>
      </c>
      <c r="E168" s="64">
        <f ca="1">'Fruit Trees'!F164</f>
        <v>1</v>
      </c>
      <c r="F168" s="65">
        <f ca="1">'Fruit Trees'!G164</f>
        <v>435</v>
      </c>
      <c r="H168" s="47"/>
    </row>
    <row r="169" spans="1:8" ht="12.75" x14ac:dyDescent="0.2">
      <c r="A169" s="51" t="str">
        <f ca="1">'Fruit Trees'!A165</f>
        <v>zx - 14' Orchard Ladder (extendable)</v>
      </c>
      <c r="B169" s="51">
        <f>'Fruit Trees'!C165</f>
        <v>0</v>
      </c>
      <c r="C169" s="51" t="str">
        <f ca="1">'Fruit Trees'!D165</f>
        <v>0-0"</v>
      </c>
      <c r="D169" s="51" t="str">
        <f ca="1">'Fruit Trees'!E165</f>
        <v>0-0'</v>
      </c>
      <c r="E169" s="64">
        <f ca="1">'Fruit Trees'!F165</f>
        <v>2</v>
      </c>
      <c r="F169" s="65">
        <f ca="1">'Fruit Trees'!G165</f>
        <v>620</v>
      </c>
      <c r="H169" s="47"/>
    </row>
    <row r="170" spans="1:8" ht="15" x14ac:dyDescent="0.25">
      <c r="A170" s="51" t="str">
        <f ca="1">'Fruit Trees'!A166</f>
        <v>zx - 16' Orchard Ladder (fixed)</v>
      </c>
      <c r="B170" s="51">
        <f>'Fruit Trees'!C166</f>
        <v>0</v>
      </c>
      <c r="C170" s="51" t="str">
        <f ca="1">'Fruit Trees'!D166</f>
        <v>0-0"</v>
      </c>
      <c r="D170" s="51" t="str">
        <f ca="1">'Fruit Trees'!E166</f>
        <v>0-0'</v>
      </c>
      <c r="E170" s="64">
        <f ca="1">'Fruit Trees'!F166</f>
        <v>5</v>
      </c>
      <c r="F170" s="65">
        <f ca="1">'Fruit Trees'!G166</f>
        <v>600</v>
      </c>
      <c r="H170" s="72"/>
    </row>
    <row r="171" spans="1:8" ht="15" x14ac:dyDescent="0.25">
      <c r="A171" s="51" t="str">
        <f ca="1">'Fruit Trees'!A167</f>
        <v>zx - 4' Bark Protector</v>
      </c>
      <c r="B171" s="51">
        <f>'Fruit Trees'!C167</f>
        <v>0</v>
      </c>
      <c r="C171" s="51" t="str">
        <f ca="1">'Fruit Trees'!D167</f>
        <v>0-0"</v>
      </c>
      <c r="D171" s="51" t="str">
        <f ca="1">'Fruit Trees'!E167</f>
        <v>0-0'</v>
      </c>
      <c r="E171" s="64">
        <f ca="1">'Fruit Trees'!F167</f>
        <v>745</v>
      </c>
      <c r="F171" s="65">
        <f ca="1">'Fruit Trees'!G167</f>
        <v>10</v>
      </c>
      <c r="H171" s="72"/>
    </row>
    <row r="172" spans="1:8" ht="15" x14ac:dyDescent="0.25">
      <c r="A172" s="51" t="str">
        <f ca="1">'Fruit Trees'!A168</f>
        <v>zx - 6' Orchard Ladder (extendable leg)</v>
      </c>
      <c r="B172" s="51">
        <f>'Fruit Trees'!C168</f>
        <v>0</v>
      </c>
      <c r="C172" s="51" t="str">
        <f ca="1">'Fruit Trees'!D168</f>
        <v>0-0"</v>
      </c>
      <c r="D172" s="51" t="str">
        <f ca="1">'Fruit Trees'!E168</f>
        <v>0-0'</v>
      </c>
      <c r="E172" s="64">
        <f ca="1">'Fruit Trees'!F168</f>
        <v>2</v>
      </c>
      <c r="F172" s="65">
        <f ca="1">'Fruit Trees'!G168</f>
        <v>400</v>
      </c>
      <c r="H172" s="72"/>
    </row>
    <row r="173" spans="1:8" ht="15" x14ac:dyDescent="0.25">
      <c r="A173" s="51" t="str">
        <f ca="1">'Fruit Trees'!A169</f>
        <v>zx - 8' Orchard Ladder (extendable leg)</v>
      </c>
      <c r="B173" s="51">
        <f>'Fruit Trees'!C169</f>
        <v>0</v>
      </c>
      <c r="C173" s="51" t="str">
        <f ca="1">'Fruit Trees'!D169</f>
        <v>0-0"</v>
      </c>
      <c r="D173" s="51" t="str">
        <f ca="1">'Fruit Trees'!E169</f>
        <v>0-0'</v>
      </c>
      <c r="E173" s="64">
        <f ca="1">'Fruit Trees'!F169</f>
        <v>3</v>
      </c>
      <c r="F173" s="65">
        <f ca="1">'Fruit Trees'!G169</f>
        <v>450</v>
      </c>
      <c r="H173" s="72"/>
    </row>
    <row r="174" spans="1:8" ht="15" x14ac:dyDescent="0.25">
      <c r="A174" s="51" t="str">
        <f ca="1">'Fruit Trees'!A170</f>
        <v>zx - Felco #2 Pruners</v>
      </c>
      <c r="B174" s="51">
        <f>'Fruit Trees'!C170</f>
        <v>0</v>
      </c>
      <c r="C174" s="51" t="str">
        <f ca="1">'Fruit Trees'!D170</f>
        <v>0-0"</v>
      </c>
      <c r="D174" s="51" t="str">
        <f ca="1">'Fruit Trees'!E170</f>
        <v>0-0'</v>
      </c>
      <c r="E174" s="64">
        <f ca="1">'Fruit Trees'!F170</f>
        <v>49</v>
      </c>
      <c r="F174" s="65">
        <f ca="1">'Fruit Trees'!G170</f>
        <v>65</v>
      </c>
      <c r="H174" s="72"/>
    </row>
    <row r="175" spans="1:8" ht="15" x14ac:dyDescent="0.25">
      <c r="A175" s="51" t="str">
        <f ca="1">'Fruit Trees'!A171</f>
        <v>zx - Tree Diaper (for #10-#25)</v>
      </c>
      <c r="B175" s="51">
        <f>'Fruit Trees'!C171</f>
        <v>0</v>
      </c>
      <c r="C175" s="51" t="str">
        <f ca="1">'Fruit Trees'!D171</f>
        <v>0-0"</v>
      </c>
      <c r="D175" s="51" t="str">
        <f ca="1">'Fruit Trees'!E171</f>
        <v>0-0'</v>
      </c>
      <c r="E175" s="64">
        <f ca="1">'Fruit Trees'!F171</f>
        <v>91</v>
      </c>
      <c r="F175" s="65">
        <f ca="1">'Fruit Trees'!G171</f>
        <v>40</v>
      </c>
      <c r="H175" s="72"/>
    </row>
    <row r="176" spans="1:8" ht="15" x14ac:dyDescent="0.25">
      <c r="A176" s="51" t="str">
        <f ca="1">'Fruit Trees'!A172</f>
        <v>zx -Cages</v>
      </c>
      <c r="B176" s="51">
        <f>'Fruit Trees'!C172</f>
        <v>0</v>
      </c>
      <c r="C176" s="51" t="str">
        <f ca="1">'Fruit Trees'!D172</f>
        <v>0-0"</v>
      </c>
      <c r="D176" s="51" t="str">
        <f ca="1">'Fruit Trees'!E172</f>
        <v>0-0'</v>
      </c>
      <c r="E176" s="64">
        <f ca="1">'Fruit Trees'!F172</f>
        <v>934</v>
      </c>
      <c r="F176" s="65">
        <f ca="1">'Fruit Trees'!G172</f>
        <v>45</v>
      </c>
      <c r="H176" s="72"/>
    </row>
    <row r="177" spans="1:8" ht="15" x14ac:dyDescent="0.25">
      <c r="A177" s="51" t="str">
        <f ca="1">'Fruit Trees'!A173</f>
        <v>zx -Shade Tarp</v>
      </c>
      <c r="B177" s="51">
        <f>'Fruit Trees'!C173</f>
        <v>0</v>
      </c>
      <c r="C177" s="51" t="str">
        <f ca="1">'Fruit Trees'!D173</f>
        <v>0-0"</v>
      </c>
      <c r="D177" s="51" t="str">
        <f ca="1">'Fruit Trees'!E173</f>
        <v>0-0'</v>
      </c>
      <c r="E177" s="64">
        <f ca="1">'Fruit Trees'!F173</f>
        <v>49</v>
      </c>
      <c r="F177" s="65">
        <f ca="1">'Fruit Trees'!G173</f>
        <v>30</v>
      </c>
      <c r="H177" s="72"/>
    </row>
    <row r="178" spans="1:8" ht="15" x14ac:dyDescent="0.25">
      <c r="A178" s="51">
        <f>'Fruit Trees'!A174</f>
        <v>0</v>
      </c>
      <c r="B178" s="51">
        <f>'Fruit Trees'!C174</f>
        <v>0</v>
      </c>
      <c r="C178" s="51">
        <f>'Fruit Trees'!D174</f>
        <v>0</v>
      </c>
      <c r="D178" s="51">
        <f>'Fruit Trees'!E174</f>
        <v>0</v>
      </c>
      <c r="E178" s="51">
        <f>'Fruit Trees'!F174</f>
        <v>0</v>
      </c>
      <c r="F178" s="51">
        <f>'Fruit Trees'!G174</f>
        <v>0</v>
      </c>
      <c r="H178" s="72"/>
    </row>
    <row r="179" spans="1:8" ht="15" x14ac:dyDescent="0.25">
      <c r="A179" s="51">
        <f>'Fruit Trees'!A175</f>
        <v>0</v>
      </c>
      <c r="B179" s="51">
        <f>'Fruit Trees'!C175</f>
        <v>0</v>
      </c>
      <c r="C179" s="51">
        <f>'Fruit Trees'!D175</f>
        <v>0</v>
      </c>
      <c r="D179" s="51">
        <f>'Fruit Trees'!E175</f>
        <v>0</v>
      </c>
      <c r="E179" s="51">
        <f>'Fruit Trees'!F175</f>
        <v>0</v>
      </c>
      <c r="F179" s="51">
        <f>'Fruit Trees'!G175</f>
        <v>0</v>
      </c>
      <c r="H179" s="72"/>
    </row>
    <row r="180" spans="1:8" ht="15" x14ac:dyDescent="0.25">
      <c r="A180" s="51">
        <f>'Fruit Trees'!A176</f>
        <v>0</v>
      </c>
      <c r="B180" s="51">
        <f>'Fruit Trees'!C176</f>
        <v>0</v>
      </c>
      <c r="C180" s="51">
        <f>'Fruit Trees'!D176</f>
        <v>0</v>
      </c>
      <c r="D180" s="51">
        <f>'Fruit Trees'!E176</f>
        <v>0</v>
      </c>
      <c r="E180" s="51">
        <f>'Fruit Trees'!F176</f>
        <v>0</v>
      </c>
      <c r="F180" s="51">
        <f>'Fruit Trees'!G176</f>
        <v>0</v>
      </c>
      <c r="H180" s="72"/>
    </row>
    <row r="181" spans="1:8" ht="15" x14ac:dyDescent="0.25">
      <c r="A181" s="51">
        <f>'Fruit Trees'!A177</f>
        <v>0</v>
      </c>
      <c r="B181" s="51">
        <f>'Fruit Trees'!C177</f>
        <v>0</v>
      </c>
      <c r="C181" s="51">
        <f>'Fruit Trees'!D177</f>
        <v>0</v>
      </c>
      <c r="D181" s="51">
        <f>'Fruit Trees'!E177</f>
        <v>0</v>
      </c>
      <c r="E181" s="51">
        <f>'Fruit Trees'!F177</f>
        <v>0</v>
      </c>
      <c r="F181" s="51">
        <f>'Fruit Trees'!G177</f>
        <v>0</v>
      </c>
      <c r="H181" s="72"/>
    </row>
    <row r="182" spans="1:8" ht="15" x14ac:dyDescent="0.25">
      <c r="A182" s="51">
        <f>'Fruit Trees'!A178</f>
        <v>0</v>
      </c>
      <c r="B182" s="51">
        <f>'Fruit Trees'!C178</f>
        <v>0</v>
      </c>
      <c r="C182" s="51">
        <f>'Fruit Trees'!D178</f>
        <v>0</v>
      </c>
      <c r="D182" s="51">
        <f>'Fruit Trees'!E178</f>
        <v>0</v>
      </c>
      <c r="E182" s="51">
        <f>'Fruit Trees'!F178</f>
        <v>0</v>
      </c>
      <c r="F182" s="51">
        <f>'Fruit Trees'!G178</f>
        <v>0</v>
      </c>
      <c r="H182" s="72"/>
    </row>
    <row r="183" spans="1:8" ht="15" x14ac:dyDescent="0.25">
      <c r="A183" s="51">
        <f>'Fruit Trees'!A179</f>
        <v>0</v>
      </c>
      <c r="B183" s="51">
        <f>'Fruit Trees'!C179</f>
        <v>0</v>
      </c>
      <c r="C183" s="51">
        <f>'Fruit Trees'!D179</f>
        <v>0</v>
      </c>
      <c r="D183" s="51">
        <f>'Fruit Trees'!E179</f>
        <v>0</v>
      </c>
      <c r="E183" s="51">
        <f>'Fruit Trees'!F179</f>
        <v>0</v>
      </c>
      <c r="F183" s="51">
        <f>'Fruit Trees'!G179</f>
        <v>0</v>
      </c>
      <c r="H183" s="72"/>
    </row>
    <row r="184" spans="1:8" ht="45" x14ac:dyDescent="0.6">
      <c r="A184" s="56" t="s">
        <v>20</v>
      </c>
      <c r="B184" s="57"/>
      <c r="D184" s="75"/>
      <c r="E184" s="75"/>
      <c r="F184" s="77"/>
      <c r="G184" s="77"/>
      <c r="H184" s="78"/>
    </row>
    <row r="185" spans="1:8" ht="12.75" x14ac:dyDescent="0.2">
      <c r="A185" s="47" t="str">
        <f ca="1">'Landscape Trees '!A1</f>
        <v>Latin Name</v>
      </c>
      <c r="B185" s="47" t="str">
        <f ca="1">'Landscape Trees '!C1</f>
        <v>Common Name</v>
      </c>
      <c r="C185" s="47" t="str">
        <f ca="1">'Landscape Trees '!D1</f>
        <v>Pot Size</v>
      </c>
      <c r="D185" s="47" t="str">
        <f ca="1">'Landscape Trees '!E1</f>
        <v xml:space="preserve">Caliper </v>
      </c>
      <c r="E185" s="47" t="str">
        <f ca="1">'Landscape Trees '!F1</f>
        <v xml:space="preserve">Height </v>
      </c>
      <c r="F185" s="47" t="str">
        <f ca="1">'Landscape Trees '!G1</f>
        <v xml:space="preserve">Quantity </v>
      </c>
      <c r="G185" s="47" t="str">
        <f ca="1">'Landscape Trees '!H1</f>
        <v>Price</v>
      </c>
      <c r="H185" s="47">
        <f>'Landscape Trees '!I1</f>
        <v>0</v>
      </c>
    </row>
    <row r="186" spans="1:8" ht="12.75" x14ac:dyDescent="0.2">
      <c r="A186" s="51" t="str">
        <f ca="1">'Landscape Trees '!A2</f>
        <v>Acer campestre</v>
      </c>
      <c r="B186" s="51" t="str">
        <f ca="1">'Landscape Trees '!C2</f>
        <v>Hedge Maple</v>
      </c>
      <c r="C186" s="51" t="str">
        <f ca="1">'Landscape Trees '!D2</f>
        <v>#15</v>
      </c>
      <c r="D186" s="51" t="str">
        <f ca="1">'Landscape Trees '!E2</f>
        <v>0.75-2"</v>
      </c>
      <c r="E186" s="51" t="str">
        <f ca="1">'Landscape Trees '!F2</f>
        <v>8-14'</v>
      </c>
      <c r="F186" s="64">
        <f ca="1">'Landscape Trees '!G2</f>
        <v>11</v>
      </c>
      <c r="G186" s="65">
        <f ca="1">'Landscape Trees '!H2</f>
        <v>135</v>
      </c>
      <c r="H186" s="51">
        <f>'Landscape Trees '!I2</f>
        <v>0</v>
      </c>
    </row>
    <row r="187" spans="1:8" ht="12.75" x14ac:dyDescent="0.2">
      <c r="A187" s="51" t="str">
        <f ca="1">'Landscape Trees '!A3</f>
        <v>Acer griseum</v>
      </c>
      <c r="B187" s="51" t="str">
        <f ca="1">'Landscape Trees '!C3</f>
        <v>Paperbark Maple</v>
      </c>
      <c r="C187" s="51" t="str">
        <f ca="1">'Landscape Trees '!D3</f>
        <v>#5</v>
      </c>
      <c r="D187" s="51" t="str">
        <f ca="1">'Landscape Trees '!E3</f>
        <v>0.5-1"</v>
      </c>
      <c r="E187" s="51" t="str">
        <f ca="1">'Landscape Trees '!F3</f>
        <v>4.5-6'</v>
      </c>
      <c r="F187" s="64">
        <f ca="1">'Landscape Trees '!G3</f>
        <v>17</v>
      </c>
      <c r="G187" s="65">
        <f ca="1">'Landscape Trees '!H3</f>
        <v>70</v>
      </c>
      <c r="H187" s="51">
        <f>'Landscape Trees '!I3</f>
        <v>0</v>
      </c>
    </row>
    <row r="188" spans="1:8" ht="12.75" x14ac:dyDescent="0.2">
      <c r="A188" s="51" t="str">
        <f ca="1">'Landscape Trees '!A4</f>
        <v>Acer griseum</v>
      </c>
      <c r="B188" s="51" t="str">
        <f ca="1">'Landscape Trees '!C4</f>
        <v>Paperbark Maple</v>
      </c>
      <c r="C188" s="51" t="str">
        <f ca="1">'Landscape Trees '!D4</f>
        <v>#15</v>
      </c>
      <c r="D188" s="51" t="str">
        <f ca="1">'Landscape Trees '!E4</f>
        <v>1-1.5"</v>
      </c>
      <c r="E188" s="51" t="str">
        <f ca="1">'Landscape Trees '!F4</f>
        <v>7.5-10'</v>
      </c>
      <c r="F188" s="64">
        <f ca="1">'Landscape Trees '!G4</f>
        <v>5</v>
      </c>
      <c r="G188" s="65">
        <f ca="1">'Landscape Trees '!H4</f>
        <v>180</v>
      </c>
      <c r="H188" s="51">
        <f>'Landscape Trees '!I4</f>
        <v>0</v>
      </c>
    </row>
    <row r="189" spans="1:8" ht="12.75" x14ac:dyDescent="0.2">
      <c r="A189" s="51" t="str">
        <f ca="1">'Landscape Trees '!A5</f>
        <v>Acer negundo</v>
      </c>
      <c r="B189" s="51" t="str">
        <f ca="1">'Landscape Trees '!C5</f>
        <v>Boxelder Maple</v>
      </c>
      <c r="C189" s="51" t="str">
        <f ca="1">'Landscape Trees '!D5</f>
        <v>#7</v>
      </c>
      <c r="D189" s="51" t="str">
        <f ca="1">'Landscape Trees '!E5</f>
        <v>0.5-1.5"</v>
      </c>
      <c r="E189" s="51" t="str">
        <f ca="1">'Landscape Trees '!F5</f>
        <v>2-9'</v>
      </c>
      <c r="F189" s="64">
        <f ca="1">'Landscape Trees '!G5</f>
        <v>30</v>
      </c>
      <c r="G189" s="65">
        <f ca="1">'Landscape Trees '!H5</f>
        <v>50</v>
      </c>
      <c r="H189" s="51">
        <f>'Landscape Trees '!I5</f>
        <v>0</v>
      </c>
    </row>
    <row r="190" spans="1:8" ht="12.75" x14ac:dyDescent="0.2">
      <c r="A190" s="51" t="str">
        <f ca="1">'Landscape Trees '!A6</f>
        <v>Acer palmatum 'Bloodgood'</v>
      </c>
      <c r="B190" s="51" t="str">
        <f ca="1">'Landscape Trees '!C6</f>
        <v>Bloodgood Japanese Maple</v>
      </c>
      <c r="C190" s="51" t="str">
        <f ca="1">'Landscape Trees '!D6</f>
        <v>#5</v>
      </c>
      <c r="D190" s="51" t="str">
        <f ca="1">'Landscape Trees '!E6</f>
        <v>0.75-1"</v>
      </c>
      <c r="E190" s="51" t="str">
        <f ca="1">'Landscape Trees '!F6</f>
        <v>4-6'</v>
      </c>
      <c r="F190" s="64">
        <f ca="1">'Landscape Trees '!G6</f>
        <v>9</v>
      </c>
      <c r="G190" s="65">
        <f ca="1">'Landscape Trees '!H6</f>
        <v>70</v>
      </c>
      <c r="H190" s="51">
        <f>'Landscape Trees '!I6</f>
        <v>0</v>
      </c>
    </row>
    <row r="191" spans="1:8" ht="12.75" x14ac:dyDescent="0.2">
      <c r="A191" s="51" t="str">
        <f ca="1">'Landscape Trees '!A7</f>
        <v>Acer palmatum 'Emperor I'</v>
      </c>
      <c r="B191" s="51" t="str">
        <f ca="1">'Landscape Trees '!C7</f>
        <v>Emperor I Japanese Maple</v>
      </c>
      <c r="C191" s="51" t="str">
        <f ca="1">'Landscape Trees '!D7</f>
        <v>#5</v>
      </c>
      <c r="D191" s="51" t="str">
        <f ca="1">'Landscape Trees '!E7</f>
        <v>0.5-1"</v>
      </c>
      <c r="E191" s="51" t="str">
        <f ca="1">'Landscape Trees '!F7</f>
        <v>5-6'</v>
      </c>
      <c r="F191" s="64">
        <f ca="1">'Landscape Trees '!G7</f>
        <v>22</v>
      </c>
      <c r="G191" s="65">
        <f ca="1">'Landscape Trees '!H7</f>
        <v>70</v>
      </c>
      <c r="H191" s="51">
        <f>'Landscape Trees '!I7</f>
        <v>0</v>
      </c>
    </row>
    <row r="192" spans="1:8" ht="12.75" x14ac:dyDescent="0.2">
      <c r="A192" s="51" t="str">
        <f ca="1">'Landscape Trees '!A8</f>
        <v>Acer palmatum 'Tamukeyama'</v>
      </c>
      <c r="B192" s="51" t="str">
        <f ca="1">'Landscape Trees '!C8</f>
        <v>Tamukeyama Japanese Maple</v>
      </c>
      <c r="C192" s="51" t="str">
        <f ca="1">'Landscape Trees '!D8</f>
        <v>#5</v>
      </c>
      <c r="D192" s="51" t="str">
        <f ca="1">'Landscape Trees '!E8</f>
        <v>0.25-1"</v>
      </c>
      <c r="E192" s="51" t="str">
        <f ca="1">'Landscape Trees '!F8</f>
        <v>2.5-5'</v>
      </c>
      <c r="F192" s="64">
        <f ca="1">'Landscape Trees '!G8</f>
        <v>30</v>
      </c>
      <c r="G192" s="65">
        <f ca="1">'Landscape Trees '!H8</f>
        <v>70</v>
      </c>
      <c r="H192" s="51">
        <f>'Landscape Trees '!I8</f>
        <v>0</v>
      </c>
    </row>
    <row r="193" spans="1:8" ht="12.75" x14ac:dyDescent="0.2">
      <c r="A193" s="51" t="str">
        <f ca="1">'Landscape Trees '!A9</f>
        <v>Acer platanoides 'Crimson King'</v>
      </c>
      <c r="B193" s="51" t="str">
        <f ca="1">'Landscape Trees '!C9</f>
        <v>Crimson King Norway Maple</v>
      </c>
      <c r="C193" s="51" t="str">
        <f ca="1">'Landscape Trees '!D9</f>
        <v>#15</v>
      </c>
      <c r="D193" s="51" t="str">
        <f ca="1">'Landscape Trees '!E9</f>
        <v>1.25-2"</v>
      </c>
      <c r="E193" s="51" t="str">
        <f ca="1">'Landscape Trees '!F9</f>
        <v>10-14'</v>
      </c>
      <c r="F193" s="64">
        <f ca="1">'Landscape Trees '!G9</f>
        <v>18</v>
      </c>
      <c r="G193" s="65">
        <f ca="1">'Landscape Trees '!H9</f>
        <v>135</v>
      </c>
      <c r="H193" s="51">
        <f>'Landscape Trees '!I9</f>
        <v>0</v>
      </c>
    </row>
    <row r="194" spans="1:8" ht="12.75" x14ac:dyDescent="0.2">
      <c r="A194" s="51" t="str">
        <f ca="1">'Landscape Trees '!A10</f>
        <v>Acer platanoides 'Silver Variegated'</v>
      </c>
      <c r="B194" s="51" t="str">
        <f ca="1">'Landscape Trees '!C10</f>
        <v>Silver Variegated Norway Maple</v>
      </c>
      <c r="C194" s="51" t="str">
        <f ca="1">'Landscape Trees '!D10</f>
        <v>#15</v>
      </c>
      <c r="D194" s="51" t="str">
        <f ca="1">'Landscape Trees '!E10</f>
        <v>0.75-1.25"</v>
      </c>
      <c r="E194" s="51" t="str">
        <f ca="1">'Landscape Trees '!F10</f>
        <v>8-10'</v>
      </c>
      <c r="F194" s="64">
        <f ca="1">'Landscape Trees '!G10</f>
        <v>10</v>
      </c>
      <c r="G194" s="65">
        <f ca="1">'Landscape Trees '!H10</f>
        <v>135</v>
      </c>
      <c r="H194" s="51">
        <f>'Landscape Trees '!I10</f>
        <v>0</v>
      </c>
    </row>
    <row r="195" spans="1:8" ht="12.75" x14ac:dyDescent="0.2">
      <c r="A195" s="51" t="str">
        <f ca="1">'Landscape Trees '!A11</f>
        <v>Acer rubrum</v>
      </c>
      <c r="B195" s="51" t="str">
        <f ca="1">'Landscape Trees '!C11</f>
        <v>Red Maple Native</v>
      </c>
      <c r="C195" s="51" t="str">
        <f ca="1">'Landscape Trees '!D11</f>
        <v>#5</v>
      </c>
      <c r="D195" s="51" t="str">
        <f ca="1">'Landscape Trees '!E11</f>
        <v>0.5-1.5"</v>
      </c>
      <c r="E195" s="51" t="str">
        <f ca="1">'Landscape Trees '!F11</f>
        <v>3-10'</v>
      </c>
      <c r="F195" s="64">
        <f ca="1">'Landscape Trees '!G11</f>
        <v>256</v>
      </c>
      <c r="G195" s="65">
        <f ca="1">'Landscape Trees '!H11</f>
        <v>50</v>
      </c>
      <c r="H195" s="51">
        <f>'Landscape Trees '!I11</f>
        <v>0</v>
      </c>
    </row>
    <row r="196" spans="1:8" ht="12.75" x14ac:dyDescent="0.2">
      <c r="A196" s="51" t="str">
        <f ca="1">'Landscape Trees '!A12</f>
        <v>Acer rubrum</v>
      </c>
      <c r="B196" s="51" t="str">
        <f ca="1">'Landscape Trees '!C12</f>
        <v>Red Maple Cultivar</v>
      </c>
      <c r="C196" s="51" t="str">
        <f ca="1">'Landscape Trees '!D12</f>
        <v>#15</v>
      </c>
      <c r="D196" s="51" t="str">
        <f ca="1">'Landscape Trees '!E12</f>
        <v>1-1.75"</v>
      </c>
      <c r="E196" s="51" t="str">
        <f ca="1">'Landscape Trees '!F12</f>
        <v>9-12'</v>
      </c>
      <c r="F196" s="64">
        <f ca="1">'Landscape Trees '!G12</f>
        <v>42</v>
      </c>
      <c r="G196" s="65">
        <f ca="1">'Landscape Trees '!H12</f>
        <v>135</v>
      </c>
      <c r="H196" s="51">
        <f>'Landscape Trees '!I12</f>
        <v>0</v>
      </c>
    </row>
    <row r="197" spans="1:8" ht="12.75" x14ac:dyDescent="0.2">
      <c r="A197" s="51" t="str">
        <f ca="1">'Landscape Trees '!A13</f>
        <v xml:space="preserve">Acer rubrum </v>
      </c>
      <c r="B197" s="51" t="str">
        <f ca="1">'Landscape Trees '!C13</f>
        <v>Red Maple Cultivar</v>
      </c>
      <c r="C197" s="51" t="str">
        <f ca="1">'Landscape Trees '!D13</f>
        <v>#5</v>
      </c>
      <c r="D197" s="51" t="str">
        <f ca="1">'Landscape Trees '!E13</f>
        <v>0.75-1"</v>
      </c>
      <c r="E197" s="51" t="str">
        <f ca="1">'Landscape Trees '!F13</f>
        <v>6-7'</v>
      </c>
      <c r="F197" s="64">
        <f ca="1">'Landscape Trees '!G13</f>
        <v>49</v>
      </c>
      <c r="G197" s="65">
        <f ca="1">'Landscape Trees '!H13</f>
        <v>50</v>
      </c>
      <c r="H197" s="51">
        <f>'Landscape Trees '!I13</f>
        <v>0</v>
      </c>
    </row>
    <row r="198" spans="1:8" ht="12.75" x14ac:dyDescent="0.2">
      <c r="A198" s="51" t="str">
        <f ca="1">'Landscape Trees '!A14</f>
        <v>Acer rubrum 'Armstrong'</v>
      </c>
      <c r="B198" s="51" t="str">
        <f ca="1">'Landscape Trees '!C14</f>
        <v>Armstrong Red Maple</v>
      </c>
      <c r="C198" s="51" t="str">
        <f ca="1">'Landscape Trees '!D14</f>
        <v>#15</v>
      </c>
      <c r="D198" s="51" t="str">
        <f ca="1">'Landscape Trees '!E14</f>
        <v>1.75-1.75"</v>
      </c>
      <c r="E198" s="51" t="str">
        <f ca="1">'Landscape Trees '!F14</f>
        <v>14-14'</v>
      </c>
      <c r="F198" s="64">
        <f ca="1">'Landscape Trees '!G14</f>
        <v>1</v>
      </c>
      <c r="G198" s="65">
        <f ca="1">'Landscape Trees '!H14</f>
        <v>135</v>
      </c>
      <c r="H198" s="51">
        <f>'Landscape Trees '!I14</f>
        <v>0</v>
      </c>
    </row>
    <row r="199" spans="1:8" ht="12.75" x14ac:dyDescent="0.2">
      <c r="A199" s="51" t="str">
        <f ca="1">'Landscape Trees '!A15</f>
        <v>Acer rubrum 'Armstrong'</v>
      </c>
      <c r="B199" s="51" t="str">
        <f ca="1">'Landscape Trees '!C15</f>
        <v>Armstrong Red Maple</v>
      </c>
      <c r="C199" s="51" t="str">
        <f ca="1">'Landscape Trees '!D15</f>
        <v>#10</v>
      </c>
      <c r="D199" s="51" t="str">
        <f ca="1">'Landscape Trees '!E15</f>
        <v>0.75-1"</v>
      </c>
      <c r="E199" s="51" t="str">
        <f ca="1">'Landscape Trees '!F15</f>
        <v>6-8'</v>
      </c>
      <c r="F199" s="64">
        <f ca="1">'Landscape Trees '!G15</f>
        <v>5</v>
      </c>
      <c r="G199" s="65">
        <f ca="1">'Landscape Trees '!H15</f>
        <v>100</v>
      </c>
      <c r="H199" s="51">
        <f>'Landscape Trees '!I15</f>
        <v>0</v>
      </c>
    </row>
    <row r="200" spans="1:8" ht="12.75" x14ac:dyDescent="0.2">
      <c r="A200" s="51" t="str">
        <f ca="1">'Landscape Trees '!A16</f>
        <v>Acer rubrum 'Armstrong'</v>
      </c>
      <c r="B200" s="51" t="str">
        <f ca="1">'Landscape Trees '!C16</f>
        <v>Armstrong Red Maple</v>
      </c>
      <c r="C200" s="51" t="str">
        <f ca="1">'Landscape Trees '!D16</f>
        <v>#5</v>
      </c>
      <c r="D200" s="51" t="str">
        <f ca="1">'Landscape Trees '!E16</f>
        <v>0.5-1"</v>
      </c>
      <c r="E200" s="51" t="str">
        <f ca="1">'Landscape Trees '!F16</f>
        <v>3-6'</v>
      </c>
      <c r="F200" s="64">
        <f ca="1">'Landscape Trees '!G16</f>
        <v>24</v>
      </c>
      <c r="G200" s="65">
        <f ca="1">'Landscape Trees '!H16</f>
        <v>50</v>
      </c>
      <c r="H200" s="51">
        <f>'Landscape Trees '!I16</f>
        <v>0</v>
      </c>
    </row>
    <row r="201" spans="1:8" ht="12.75" x14ac:dyDescent="0.2">
      <c r="A201" s="51" t="str">
        <f ca="1">'Landscape Trees '!A17</f>
        <v>Acer saccharinum</v>
      </c>
      <c r="B201" s="51" t="str">
        <f ca="1">'Landscape Trees '!C17</f>
        <v>Silver Maple</v>
      </c>
      <c r="C201" s="51" t="str">
        <f ca="1">'Landscape Trees '!D17</f>
        <v>#5</v>
      </c>
      <c r="D201" s="51" t="str">
        <f ca="1">'Landscape Trees '!E17</f>
        <v>0.75-1.5"</v>
      </c>
      <c r="E201" s="51" t="str">
        <f ca="1">'Landscape Trees '!F17</f>
        <v>6-13'</v>
      </c>
      <c r="F201" s="64">
        <f ca="1">'Landscape Trees '!G17</f>
        <v>7</v>
      </c>
      <c r="G201" s="65">
        <f ca="1">'Landscape Trees '!H17</f>
        <v>50</v>
      </c>
      <c r="H201" s="51">
        <f>'Landscape Trees '!I17</f>
        <v>0</v>
      </c>
    </row>
    <row r="202" spans="1:8" ht="12.75" x14ac:dyDescent="0.2">
      <c r="A202" s="51" t="str">
        <f ca="1">'Landscape Trees '!A18</f>
        <v>Acer saccharum 'Bailsta'</v>
      </c>
      <c r="B202" s="51" t="str">
        <f ca="1">'Landscape Trees '!C18</f>
        <v>Fall Fiesta Sugar Maple</v>
      </c>
      <c r="C202" s="51" t="str">
        <f ca="1">'Landscape Trees '!D18</f>
        <v>#15</v>
      </c>
      <c r="D202" s="51" t="str">
        <f ca="1">'Landscape Trees '!E18</f>
        <v>1.25-2"</v>
      </c>
      <c r="E202" s="51" t="str">
        <f ca="1">'Landscape Trees '!F18</f>
        <v>8-13'</v>
      </c>
      <c r="F202" s="64">
        <f ca="1">'Landscape Trees '!G18</f>
        <v>12</v>
      </c>
      <c r="G202" s="65">
        <f ca="1">'Landscape Trees '!H18</f>
        <v>135</v>
      </c>
      <c r="H202" s="51">
        <f>'Landscape Trees '!I18</f>
        <v>0</v>
      </c>
    </row>
    <row r="203" spans="1:8" ht="12.75" x14ac:dyDescent="0.2">
      <c r="A203" s="51" t="str">
        <f ca="1">'Landscape Trees '!A19</f>
        <v>Acer saccharum 'Bailsta'</v>
      </c>
      <c r="B203" s="51" t="str">
        <f ca="1">'Landscape Trees '!C19</f>
        <v>Fall Fiesta Sugar Maple</v>
      </c>
      <c r="C203" s="51" t="str">
        <f ca="1">'Landscape Trees '!D19</f>
        <v>#25</v>
      </c>
      <c r="D203" s="51" t="str">
        <f ca="1">'Landscape Trees '!E19</f>
        <v>1.5-2"</v>
      </c>
      <c r="E203" s="51" t="str">
        <f ca="1">'Landscape Trees '!F19</f>
        <v>10-15'</v>
      </c>
      <c r="F203" s="64">
        <f ca="1">'Landscape Trees '!G19</f>
        <v>15</v>
      </c>
      <c r="G203" s="65">
        <f ca="1">'Landscape Trees '!H19</f>
        <v>150</v>
      </c>
      <c r="H203" s="51">
        <f>'Landscape Trees '!I19</f>
        <v>0</v>
      </c>
    </row>
    <row r="204" spans="1:8" ht="12.75" x14ac:dyDescent="0.2">
      <c r="A204" s="51" t="str">
        <f ca="1">'Landscape Trees '!A20</f>
        <v>Acer saccharum 'Green Mountain'</v>
      </c>
      <c r="B204" s="51" t="str">
        <f ca="1">'Landscape Trees '!C20</f>
        <v>Green Mountain Sugar Maple</v>
      </c>
      <c r="C204" s="51" t="str">
        <f ca="1">'Landscape Trees '!D20</f>
        <v>#15</v>
      </c>
      <c r="D204" s="51" t="str">
        <f ca="1">'Landscape Trees '!E20</f>
        <v>1.25-1.5"</v>
      </c>
      <c r="E204" s="51" t="str">
        <f ca="1">'Landscape Trees '!F20</f>
        <v>10-14'</v>
      </c>
      <c r="F204" s="64">
        <f ca="1">'Landscape Trees '!G20</f>
        <v>6</v>
      </c>
      <c r="G204" s="65">
        <f ca="1">'Landscape Trees '!H20</f>
        <v>135</v>
      </c>
      <c r="H204" s="51">
        <f>'Landscape Trees '!I20</f>
        <v>0</v>
      </c>
    </row>
    <row r="205" spans="1:8" ht="12.75" x14ac:dyDescent="0.2">
      <c r="A205" s="51" t="str">
        <f ca="1">'Landscape Trees '!A21</f>
        <v>Acer tataricum 'Hot Wings'</v>
      </c>
      <c r="B205" s="51" t="str">
        <f ca="1">'Landscape Trees '!C21</f>
        <v>Hot Wings Maple</v>
      </c>
      <c r="C205" s="51" t="str">
        <f ca="1">'Landscape Trees '!D21</f>
        <v>#15</v>
      </c>
      <c r="D205" s="51" t="str">
        <f ca="1">'Landscape Trees '!E21</f>
        <v>1-1.75"</v>
      </c>
      <c r="E205" s="51" t="str">
        <f ca="1">'Landscape Trees '!F21</f>
        <v>9-13'</v>
      </c>
      <c r="F205" s="64">
        <f ca="1">'Landscape Trees '!G21</f>
        <v>13</v>
      </c>
      <c r="G205" s="65">
        <f ca="1">'Landscape Trees '!H21</f>
        <v>135</v>
      </c>
      <c r="H205" s="51">
        <f>'Landscape Trees '!I21</f>
        <v>0</v>
      </c>
    </row>
    <row r="206" spans="1:8" ht="12.75" x14ac:dyDescent="0.2">
      <c r="A206" s="51" t="str">
        <f ca="1">'Landscape Trees '!A22</f>
        <v>Acer x freemanii</v>
      </c>
      <c r="B206" s="51" t="str">
        <f ca="1">'Landscape Trees '!C22</f>
        <v>Autumn Blaze Maple</v>
      </c>
      <c r="C206" s="51" t="str">
        <f ca="1">'Landscape Trees '!D22</f>
        <v>#5</v>
      </c>
      <c r="D206" s="51" t="str">
        <f ca="1">'Landscape Trees '!E22</f>
        <v>1-1.25"</v>
      </c>
      <c r="E206" s="51" t="str">
        <f ca="1">'Landscape Trees '!F22</f>
        <v>7-9'</v>
      </c>
      <c r="F206" s="64">
        <f ca="1">'Landscape Trees '!G22</f>
        <v>21</v>
      </c>
      <c r="G206" s="65">
        <f ca="1">'Landscape Trees '!H22</f>
        <v>50</v>
      </c>
      <c r="H206" s="51">
        <f>'Landscape Trees '!I22</f>
        <v>0</v>
      </c>
    </row>
    <row r="207" spans="1:8" ht="12.75" x14ac:dyDescent="0.2">
      <c r="A207" s="51" t="str">
        <f ca="1">'Landscape Trees '!A23</f>
        <v>Acer x freemanii</v>
      </c>
      <c r="B207" s="51" t="str">
        <f ca="1">'Landscape Trees '!C23</f>
        <v>Autumn Blaze Maple</v>
      </c>
      <c r="C207" s="51" t="str">
        <f ca="1">'Landscape Trees '!D23</f>
        <v>#10</v>
      </c>
      <c r="D207" s="51" t="str">
        <f ca="1">'Landscape Trees '!E23</f>
        <v>0.75-1"</v>
      </c>
      <c r="E207" s="51" t="str">
        <f ca="1">'Landscape Trees '!F23</f>
        <v>8-9'</v>
      </c>
      <c r="F207" s="64">
        <f ca="1">'Landscape Trees '!G23</f>
        <v>1</v>
      </c>
      <c r="G207" s="65">
        <f ca="1">'Landscape Trees '!H23</f>
        <v>100</v>
      </c>
      <c r="H207" s="51">
        <f>'Landscape Trees '!I23</f>
        <v>0</v>
      </c>
    </row>
    <row r="208" spans="1:8" ht="12.75" x14ac:dyDescent="0.2">
      <c r="A208" s="51" t="str">
        <f ca="1">'Landscape Trees '!A24</f>
        <v>Aesculus carnea 'Ft. McNair'</v>
      </c>
      <c r="B208" s="51" t="str">
        <f ca="1">'Landscape Trees '!C24</f>
        <v>Ft. McNair Horsechestnut</v>
      </c>
      <c r="C208" s="51" t="str">
        <f ca="1">'Landscape Trees '!D24</f>
        <v>#15</v>
      </c>
      <c r="D208" s="51" t="str">
        <f ca="1">'Landscape Trees '!E24</f>
        <v>1-1.5"</v>
      </c>
      <c r="E208" s="51" t="str">
        <f ca="1">'Landscape Trees '!F24</f>
        <v>7-8'</v>
      </c>
      <c r="F208" s="64">
        <f ca="1">'Landscape Trees '!G24</f>
        <v>2</v>
      </c>
      <c r="G208" s="65">
        <f ca="1">'Landscape Trees '!H24</f>
        <v>135</v>
      </c>
      <c r="H208" s="51">
        <f>'Landscape Trees '!I24</f>
        <v>0</v>
      </c>
    </row>
    <row r="209" spans="1:8" ht="12.75" x14ac:dyDescent="0.2">
      <c r="A209" s="51" t="str">
        <f ca="1">'Landscape Trees '!A25</f>
        <v>Aesculus parviflora</v>
      </c>
      <c r="B209" s="51" t="str">
        <f ca="1">'Landscape Trees '!C25</f>
        <v>Bottlebrush Buckeye</v>
      </c>
      <c r="C209" s="51" t="str">
        <f ca="1">'Landscape Trees '!D25</f>
        <v>#5</v>
      </c>
      <c r="D209" s="51" t="str">
        <f ca="1">'Landscape Trees '!E25</f>
        <v>Multi</v>
      </c>
      <c r="E209" s="51" t="str">
        <f ca="1">'Landscape Trees '!F25</f>
        <v>2-4.5'</v>
      </c>
      <c r="F209" s="64">
        <f ca="1">'Landscape Trees '!G25</f>
        <v>93</v>
      </c>
      <c r="G209" s="65">
        <f ca="1">'Landscape Trees '!H25</f>
        <v>50</v>
      </c>
      <c r="H209" s="51">
        <f>'Landscape Trees '!I25</f>
        <v>0</v>
      </c>
    </row>
    <row r="210" spans="1:8" ht="12.75" x14ac:dyDescent="0.2">
      <c r="A210" s="51" t="str">
        <f ca="1">'Landscape Trees '!A26</f>
        <v>Aesculus parviflora</v>
      </c>
      <c r="B210" s="51" t="str">
        <f ca="1">'Landscape Trees '!C26</f>
        <v>Bottlebrush Buckeye</v>
      </c>
      <c r="C210" s="51" t="str">
        <f ca="1">'Landscape Trees '!D26</f>
        <v>#10</v>
      </c>
      <c r="D210" s="51" t="str">
        <f ca="1">'Landscape Trees '!E26</f>
        <v>Multi</v>
      </c>
      <c r="E210" s="51" t="str">
        <f ca="1">'Landscape Trees '!F26</f>
        <v>4.5-5.5'</v>
      </c>
      <c r="F210" s="64">
        <f ca="1">'Landscape Trees '!G26</f>
        <v>17</v>
      </c>
      <c r="G210" s="65">
        <f ca="1">'Landscape Trees '!H26</f>
        <v>70</v>
      </c>
      <c r="H210" s="51">
        <f>'Landscape Trees '!I26</f>
        <v>0</v>
      </c>
    </row>
    <row r="211" spans="1:8" ht="12.75" x14ac:dyDescent="0.2">
      <c r="A211" s="51" t="str">
        <f ca="1">'Landscape Trees '!A27</f>
        <v>Albizia julibrissin 'E.H.Wilson'</v>
      </c>
      <c r="B211" s="51" t="str">
        <f ca="1">'Landscape Trees '!C27</f>
        <v>Cold Hardy Mimosa</v>
      </c>
      <c r="C211" s="51" t="str">
        <f ca="1">'Landscape Trees '!D27</f>
        <v>#5</v>
      </c>
      <c r="D211" s="51" t="str">
        <f ca="1">'Landscape Trees '!E27</f>
        <v>1.25-1.25"</v>
      </c>
      <c r="E211" s="51" t="str">
        <f ca="1">'Landscape Trees '!F27</f>
        <v>6-8'</v>
      </c>
      <c r="F211" s="64">
        <f ca="1">'Landscape Trees '!G27</f>
        <v>1</v>
      </c>
      <c r="G211" s="65">
        <f ca="1">'Landscape Trees '!H27</f>
        <v>50</v>
      </c>
      <c r="H211" s="51">
        <f>'Landscape Trees '!I27</f>
        <v>0</v>
      </c>
    </row>
    <row r="212" spans="1:8" ht="12.75" x14ac:dyDescent="0.2">
      <c r="A212" s="51" t="str">
        <f ca="1">'Landscape Trees '!A28</f>
        <v>Amelanchier grandiflora 'Autumn Brilliance'</v>
      </c>
      <c r="B212" s="51" t="str">
        <f ca="1">'Landscape Trees '!C28</f>
        <v>Autumn Brilliance Serviceberry</v>
      </c>
      <c r="C212" s="51" t="str">
        <f ca="1">'Landscape Trees '!D28</f>
        <v>#5</v>
      </c>
      <c r="D212" s="51" t="str">
        <f ca="1">'Landscape Trees '!E28</f>
        <v>Multi</v>
      </c>
      <c r="E212" s="51" t="str">
        <f ca="1">'Landscape Trees '!F28</f>
        <v>3-8'</v>
      </c>
      <c r="F212" s="64">
        <f ca="1">'Landscape Trees '!G28</f>
        <v>81</v>
      </c>
      <c r="G212" s="65">
        <f ca="1">'Landscape Trees '!H28</f>
        <v>50</v>
      </c>
      <c r="H212" s="51">
        <f>'Landscape Trees '!I28</f>
        <v>0</v>
      </c>
    </row>
    <row r="213" spans="1:8" ht="12.75" x14ac:dyDescent="0.2">
      <c r="A213" s="51" t="str">
        <f ca="1">'Landscape Trees '!A29</f>
        <v>Amelanchier grandiflora 'Autumn Brilliance'</v>
      </c>
      <c r="B213" s="51" t="str">
        <f ca="1">'Landscape Trees '!C29</f>
        <v>Autumn Brilliance Serviceberry</v>
      </c>
      <c r="C213" s="51" t="str">
        <f ca="1">'Landscape Trees '!D29</f>
        <v>#10</v>
      </c>
      <c r="D213" s="51" t="str">
        <f ca="1">'Landscape Trees '!E29</f>
        <v>Multi</v>
      </c>
      <c r="E213" s="51" t="str">
        <f ca="1">'Landscape Trees '!F29</f>
        <v>7-9'</v>
      </c>
      <c r="F213" s="64">
        <f ca="1">'Landscape Trees '!G29</f>
        <v>12</v>
      </c>
      <c r="G213" s="65">
        <f ca="1">'Landscape Trees '!H29</f>
        <v>100</v>
      </c>
      <c r="H213" s="51">
        <f>'Landscape Trees '!I29</f>
        <v>0</v>
      </c>
    </row>
    <row r="214" spans="1:8" ht="12.75" x14ac:dyDescent="0.2">
      <c r="A214" s="51" t="str">
        <f ca="1">'Landscape Trees '!A30</f>
        <v>Amelanchier laevis</v>
      </c>
      <c r="B214" s="51" t="str">
        <f ca="1">'Landscape Trees '!C30</f>
        <v>Allegheny Serviceberry</v>
      </c>
      <c r="C214" s="51" t="str">
        <f ca="1">'Landscape Trees '!D30</f>
        <v>#5</v>
      </c>
      <c r="D214" s="51" t="str">
        <f ca="1">'Landscape Trees '!E30</f>
        <v>0.25-0.5"</v>
      </c>
      <c r="E214" s="51" t="str">
        <f ca="1">'Landscape Trees '!F30</f>
        <v>3-10'</v>
      </c>
      <c r="F214" s="64">
        <f ca="1">'Landscape Trees '!G30</f>
        <v>40</v>
      </c>
      <c r="G214" s="65">
        <f ca="1">'Landscape Trees '!H30</f>
        <v>50</v>
      </c>
      <c r="H214" s="51">
        <f>'Landscape Trees '!I30</f>
        <v>0</v>
      </c>
    </row>
    <row r="215" spans="1:8" ht="12.75" x14ac:dyDescent="0.2">
      <c r="A215" s="51" t="str">
        <f ca="1">'Landscape Trees '!A31</f>
        <v>Amelanchier laevis</v>
      </c>
      <c r="B215" s="51" t="str">
        <f ca="1">'Landscape Trees '!C31</f>
        <v>Allegheny Serviceberry</v>
      </c>
      <c r="C215" s="51" t="str">
        <f ca="1">'Landscape Trees '!D31</f>
        <v>#5</v>
      </c>
      <c r="D215" s="51" t="str">
        <f ca="1">'Landscape Trees '!E31</f>
        <v>Multi</v>
      </c>
      <c r="E215" s="51" t="str">
        <f ca="1">'Landscape Trees '!F31</f>
        <v>3-10'</v>
      </c>
      <c r="F215" s="64">
        <f ca="1">'Landscape Trees '!G31</f>
        <v>165</v>
      </c>
      <c r="G215" s="65">
        <f ca="1">'Landscape Trees '!H31</f>
        <v>50</v>
      </c>
      <c r="H215" s="51">
        <f>'Landscape Trees '!I31</f>
        <v>0</v>
      </c>
    </row>
    <row r="216" spans="1:8" ht="12.75" x14ac:dyDescent="0.2">
      <c r="A216" s="51" t="str">
        <f ca="1">'Landscape Trees '!A32</f>
        <v>Amelanchier lamarckii</v>
      </c>
      <c r="B216" s="51" t="str">
        <f ca="1">'Landscape Trees '!C32</f>
        <v>Lamarckii Serviceberry</v>
      </c>
      <c r="C216" s="51" t="str">
        <f ca="1">'Landscape Trees '!D32</f>
        <v>#5</v>
      </c>
      <c r="D216" s="51" t="str">
        <f ca="1">'Landscape Trees '!E32</f>
        <v>Multi</v>
      </c>
      <c r="E216" s="51" t="str">
        <f ca="1">'Landscape Trees '!F32</f>
        <v>4-10'</v>
      </c>
      <c r="F216" s="64">
        <f ca="1">'Landscape Trees '!G32</f>
        <v>3</v>
      </c>
      <c r="G216" s="65">
        <f ca="1">'Landscape Trees '!H32</f>
        <v>50</v>
      </c>
      <c r="H216" s="51">
        <f>'Landscape Trees '!I32</f>
        <v>0</v>
      </c>
    </row>
    <row r="217" spans="1:8" ht="12.75" x14ac:dyDescent="0.2">
      <c r="A217" s="51" t="str">
        <f ca="1">'Landscape Trees '!A33</f>
        <v>Aronia arbutifolia</v>
      </c>
      <c r="B217" s="51" t="str">
        <f ca="1">'Landscape Trees '!C33</f>
        <v>Red Chokeberry</v>
      </c>
      <c r="C217" s="51" t="str">
        <f ca="1">'Landscape Trees '!D33</f>
        <v>#5</v>
      </c>
      <c r="D217" s="51" t="str">
        <f ca="1">'Landscape Trees '!E33</f>
        <v>Multi</v>
      </c>
      <c r="E217" s="51" t="str">
        <f ca="1">'Landscape Trees '!F33</f>
        <v>4-5.5'</v>
      </c>
      <c r="F217" s="64">
        <f ca="1">'Landscape Trees '!G33</f>
        <v>9</v>
      </c>
      <c r="G217" s="65">
        <f ca="1">'Landscape Trees '!H33</f>
        <v>37</v>
      </c>
      <c r="H217" s="51">
        <f>'Landscape Trees '!I33</f>
        <v>0</v>
      </c>
    </row>
    <row r="218" spans="1:8" ht="12.75" x14ac:dyDescent="0.2">
      <c r="A218" s="51" t="str">
        <f ca="1">'Landscape Trees '!A34</f>
        <v>Aronia melanocarpa</v>
      </c>
      <c r="B218" s="51" t="str">
        <f ca="1">'Landscape Trees '!C34</f>
        <v>Black Chokeberry</v>
      </c>
      <c r="C218" s="51" t="str">
        <f ca="1">'Landscape Trees '!D34</f>
        <v>#5</v>
      </c>
      <c r="D218" s="51" t="str">
        <f ca="1">'Landscape Trees '!E34</f>
        <v>Multi</v>
      </c>
      <c r="E218" s="51" t="str">
        <f ca="1">'Landscape Trees '!F34</f>
        <v>2.5-3'</v>
      </c>
      <c r="F218" s="64">
        <f ca="1">'Landscape Trees '!G34</f>
        <v>14</v>
      </c>
      <c r="G218" s="65">
        <f ca="1">'Landscape Trees '!H34</f>
        <v>37</v>
      </c>
      <c r="H218" s="51">
        <f>'Landscape Trees '!I34</f>
        <v>0</v>
      </c>
    </row>
    <row r="219" spans="1:8" ht="12.75" x14ac:dyDescent="0.2">
      <c r="A219" s="51" t="str">
        <f ca="1">'Landscape Trees '!A35</f>
        <v>Asimina triloba</v>
      </c>
      <c r="B219" s="51" t="str">
        <f ca="1">'Landscape Trees '!C35</f>
        <v>Pawpaw</v>
      </c>
      <c r="C219" s="51" t="str">
        <f ca="1">'Landscape Trees '!D35</f>
        <v>#5</v>
      </c>
      <c r="D219" s="51" t="str">
        <f ca="1">'Landscape Trees '!E35</f>
        <v>0.25-0.5"</v>
      </c>
      <c r="E219" s="51" t="str">
        <f ca="1">'Landscape Trees '!F35</f>
        <v>1-4'</v>
      </c>
      <c r="F219" s="64">
        <f ca="1">'Landscape Trees '!G35</f>
        <v>178</v>
      </c>
      <c r="G219" s="65">
        <f ca="1">'Landscape Trees '!H35</f>
        <v>50</v>
      </c>
      <c r="H219" s="51">
        <f>'Landscape Trees '!I35</f>
        <v>0</v>
      </c>
    </row>
    <row r="220" spans="1:8" ht="12.75" x14ac:dyDescent="0.2">
      <c r="A220" s="51" t="str">
        <f ca="1">'Landscape Trees '!A36</f>
        <v>Betula nigra 'Heritage'</v>
      </c>
      <c r="B220" s="51" t="str">
        <f ca="1">'Landscape Trees '!C36</f>
        <v>Heritage River Birch</v>
      </c>
      <c r="C220" s="51" t="str">
        <f ca="1">'Landscape Trees '!D36</f>
        <v>#5</v>
      </c>
      <c r="D220" s="51" t="str">
        <f ca="1">'Landscape Trees '!E36</f>
        <v>0.25-1.25"</v>
      </c>
      <c r="E220" s="51" t="str">
        <f ca="1">'Landscape Trees '!F36</f>
        <v>4-10'</v>
      </c>
      <c r="F220" s="64">
        <f ca="1">'Landscape Trees '!G36</f>
        <v>125</v>
      </c>
      <c r="G220" s="65">
        <f ca="1">'Landscape Trees '!H36</f>
        <v>50</v>
      </c>
      <c r="H220" s="51">
        <f>'Landscape Trees '!I36</f>
        <v>0</v>
      </c>
    </row>
    <row r="221" spans="1:8" ht="12.75" x14ac:dyDescent="0.2">
      <c r="A221" s="51" t="str">
        <f ca="1">'Landscape Trees '!A37</f>
        <v>Betula nigra 'Heritage'</v>
      </c>
      <c r="B221" s="51" t="str">
        <f ca="1">'Landscape Trees '!C37</f>
        <v>Clump Heritage River Birch</v>
      </c>
      <c r="C221" s="51" t="str">
        <f ca="1">'Landscape Trees '!D37</f>
        <v>#15</v>
      </c>
      <c r="D221" s="51" t="str">
        <f ca="1">'Landscape Trees '!E37</f>
        <v>Multi</v>
      </c>
      <c r="E221" s="51" t="str">
        <f ca="1">'Landscape Trees '!F37</f>
        <v>6-8'</v>
      </c>
      <c r="F221" s="64">
        <f ca="1">'Landscape Trees '!G37</f>
        <v>1</v>
      </c>
      <c r="G221" s="65">
        <f ca="1">'Landscape Trees '!H37</f>
        <v>135</v>
      </c>
      <c r="H221" s="51">
        <f>'Landscape Trees '!I37</f>
        <v>0</v>
      </c>
    </row>
    <row r="222" spans="1:8" ht="12.75" x14ac:dyDescent="0.2">
      <c r="A222" s="51" t="str">
        <f ca="1">'Landscape Trees '!A38</f>
        <v>Betula populifolia</v>
      </c>
      <c r="B222" s="51" t="str">
        <f ca="1">'Landscape Trees '!C38</f>
        <v>Gray Birch</v>
      </c>
      <c r="C222" s="51" t="str">
        <f ca="1">'Landscape Trees '!D38</f>
        <v>#5</v>
      </c>
      <c r="D222" s="51" t="str">
        <f ca="1">'Landscape Trees '!E38</f>
        <v>0.25-1"</v>
      </c>
      <c r="E222" s="51" t="str">
        <f ca="1">'Landscape Trees '!F38</f>
        <v>2-5'</v>
      </c>
      <c r="F222" s="64">
        <f ca="1">'Landscape Trees '!G38</f>
        <v>36</v>
      </c>
      <c r="G222" s="65">
        <f ca="1">'Landscape Trees '!H38</f>
        <v>50</v>
      </c>
      <c r="H222" s="51">
        <f>'Landscape Trees '!I38</f>
        <v>0</v>
      </c>
    </row>
    <row r="223" spans="1:8" ht="12.75" x14ac:dyDescent="0.2">
      <c r="A223" s="51" t="str">
        <f ca="1">'Landscape Trees '!A39</f>
        <v>Carpinus caroliniana</v>
      </c>
      <c r="B223" s="51" t="str">
        <f ca="1">'Landscape Trees '!C39</f>
        <v>American Hornbeam</v>
      </c>
      <c r="C223" s="51" t="str">
        <f ca="1">'Landscape Trees '!D39</f>
        <v>#5</v>
      </c>
      <c r="D223" s="51" t="str">
        <f ca="1">'Landscape Trees '!E39</f>
        <v>0.5-1.5"</v>
      </c>
      <c r="E223" s="51" t="str">
        <f ca="1">'Landscape Trees '!F39</f>
        <v>4-11'</v>
      </c>
      <c r="F223" s="64">
        <f ca="1">'Landscape Trees '!G39</f>
        <v>161</v>
      </c>
      <c r="G223" s="65">
        <f ca="1">'Landscape Trees '!H39</f>
        <v>50</v>
      </c>
      <c r="H223" s="51">
        <f>'Landscape Trees '!I39</f>
        <v>0</v>
      </c>
    </row>
    <row r="224" spans="1:8" ht="12.75" x14ac:dyDescent="0.2">
      <c r="A224" s="51" t="str">
        <f ca="1">'Landscape Trees '!A40</f>
        <v>Carpinus caroliniana</v>
      </c>
      <c r="B224" s="51" t="str">
        <f ca="1">'Landscape Trees '!C40</f>
        <v>American Hornbeam</v>
      </c>
      <c r="C224" s="51" t="str">
        <f ca="1">'Landscape Trees '!D40</f>
        <v>#7</v>
      </c>
      <c r="D224" s="51" t="str">
        <f ca="1">'Landscape Trees '!E40</f>
        <v>1-1.5"</v>
      </c>
      <c r="E224" s="51" t="str">
        <f ca="1">'Landscape Trees '!F40</f>
        <v>7-9'</v>
      </c>
      <c r="F224" s="64">
        <f ca="1">'Landscape Trees '!G40</f>
        <v>33</v>
      </c>
      <c r="G224" s="65">
        <f ca="1">'Landscape Trees '!H40</f>
        <v>70</v>
      </c>
      <c r="H224" s="51">
        <f>'Landscape Trees '!I40</f>
        <v>0</v>
      </c>
    </row>
    <row r="225" spans="1:8" ht="12.75" x14ac:dyDescent="0.2">
      <c r="A225" s="51" t="str">
        <f ca="1">'Landscape Trees '!A41</f>
        <v>Carpinus caroliniana</v>
      </c>
      <c r="B225" s="51" t="str">
        <f ca="1">'Landscape Trees '!C41</f>
        <v>American Hornbeam</v>
      </c>
      <c r="C225" s="51" t="str">
        <f ca="1">'Landscape Trees '!D41</f>
        <v>#15</v>
      </c>
      <c r="D225" s="51" t="str">
        <f ca="1">'Landscape Trees '!E41</f>
        <v>0.75-2"</v>
      </c>
      <c r="E225" s="51" t="str">
        <f ca="1">'Landscape Trees '!F41</f>
        <v>7.5-10'</v>
      </c>
      <c r="F225" s="64">
        <f ca="1">'Landscape Trees '!G41</f>
        <v>8</v>
      </c>
      <c r="G225" s="65">
        <f ca="1">'Landscape Trees '!H41</f>
        <v>135</v>
      </c>
      <c r="H225" s="51">
        <f>'Landscape Trees '!I41</f>
        <v>0</v>
      </c>
    </row>
    <row r="226" spans="1:8" ht="12.75" x14ac:dyDescent="0.2">
      <c r="A226" s="51" t="str">
        <f ca="1">'Landscape Trees '!A42</f>
        <v>Carpinus caroliniana</v>
      </c>
      <c r="B226" s="51" t="str">
        <f ca="1">'Landscape Trees '!C42</f>
        <v>American Hornbeam</v>
      </c>
      <c r="C226" s="51" t="str">
        <f ca="1">'Landscape Trees '!D42</f>
        <v>#10</v>
      </c>
      <c r="D226" s="51" t="str">
        <f ca="1">'Landscape Trees '!E42</f>
        <v>0.5-0.75"</v>
      </c>
      <c r="E226" s="51" t="str">
        <f ca="1">'Landscape Trees '!F42</f>
        <v>4-5.5'</v>
      </c>
      <c r="F226" s="64">
        <f ca="1">'Landscape Trees '!G42</f>
        <v>104</v>
      </c>
      <c r="G226" s="65">
        <f ca="1">'Landscape Trees '!H42</f>
        <v>100</v>
      </c>
      <c r="H226" s="51">
        <f>'Landscape Trees '!I42</f>
        <v>0</v>
      </c>
    </row>
    <row r="227" spans="1:8" ht="12.75" x14ac:dyDescent="0.2">
      <c r="A227" s="51" t="str">
        <f ca="1">'Landscape Trees '!A43</f>
        <v>Catalpa bignonioides</v>
      </c>
      <c r="B227" s="51" t="str">
        <f ca="1">'Landscape Trees '!C43</f>
        <v>Southern Catalpa</v>
      </c>
      <c r="C227" s="51" t="str">
        <f ca="1">'Landscape Trees '!D43</f>
        <v>#5</v>
      </c>
      <c r="D227" s="51" t="str">
        <f ca="1">'Landscape Trees '!E43</f>
        <v>0.25-1.25"</v>
      </c>
      <c r="E227" s="51" t="str">
        <f ca="1">'Landscape Trees '!F43</f>
        <v>2-6'</v>
      </c>
      <c r="F227" s="64">
        <f ca="1">'Landscape Trees '!G43</f>
        <v>17</v>
      </c>
      <c r="G227" s="65">
        <f ca="1">'Landscape Trees '!H43</f>
        <v>50</v>
      </c>
      <c r="H227" s="51">
        <f>'Landscape Trees '!I43</f>
        <v>0</v>
      </c>
    </row>
    <row r="228" spans="1:8" ht="12.75" x14ac:dyDescent="0.2">
      <c r="A228" s="51" t="str">
        <f ca="1">'Landscape Trees '!A44</f>
        <v>Catalpa speciosa</v>
      </c>
      <c r="B228" s="51" t="str">
        <f ca="1">'Landscape Trees '!C44</f>
        <v>Northern Catalpa</v>
      </c>
      <c r="C228" s="51" t="str">
        <f ca="1">'Landscape Trees '!D44</f>
        <v>#5</v>
      </c>
      <c r="D228" s="51" t="str">
        <f ca="1">'Landscape Trees '!E44</f>
        <v>0.25-0.5"</v>
      </c>
      <c r="E228" s="51" t="str">
        <f ca="1">'Landscape Trees '!F44</f>
        <v>2-3'</v>
      </c>
      <c r="F228" s="64">
        <f ca="1">'Landscape Trees '!G44</f>
        <v>19</v>
      </c>
      <c r="G228" s="65">
        <f ca="1">'Landscape Trees '!H44</f>
        <v>50</v>
      </c>
      <c r="H228" s="51">
        <f>'Landscape Trees '!I44</f>
        <v>0</v>
      </c>
    </row>
    <row r="229" spans="1:8" ht="12.75" x14ac:dyDescent="0.2">
      <c r="A229" s="51" t="str">
        <f ca="1">'Landscape Trees '!A45</f>
        <v>Celtis laevigata</v>
      </c>
      <c r="B229" s="51" t="str">
        <f ca="1">'Landscape Trees '!C45</f>
        <v>Sugarberry</v>
      </c>
      <c r="C229" s="51" t="str">
        <f ca="1">'Landscape Trees '!D45</f>
        <v>#5</v>
      </c>
      <c r="D229" s="51" t="str">
        <f ca="1">'Landscape Trees '!E45</f>
        <v>0.75-1.25"</v>
      </c>
      <c r="E229" s="51" t="str">
        <f ca="1">'Landscape Trees '!F45</f>
        <v>5-9'</v>
      </c>
      <c r="F229" s="64">
        <f ca="1">'Landscape Trees '!G45</f>
        <v>46</v>
      </c>
      <c r="G229" s="65">
        <f ca="1">'Landscape Trees '!H45</f>
        <v>50</v>
      </c>
      <c r="H229" s="51">
        <f>'Landscape Trees '!I45</f>
        <v>0</v>
      </c>
    </row>
    <row r="230" spans="1:8" ht="12.75" x14ac:dyDescent="0.2">
      <c r="A230" s="51" t="str">
        <f ca="1">'Landscape Trees '!A46</f>
        <v>Celtis occidentalis</v>
      </c>
      <c r="B230" s="51" t="str">
        <f ca="1">'Landscape Trees '!C46</f>
        <v>Hackberry</v>
      </c>
      <c r="C230" s="51" t="str">
        <f ca="1">'Landscape Trees '!D46</f>
        <v>#5</v>
      </c>
      <c r="D230" s="51" t="str">
        <f ca="1">'Landscape Trees '!E46</f>
        <v>0.5-1.5"</v>
      </c>
      <c r="E230" s="51" t="str">
        <f ca="1">'Landscape Trees '!F46</f>
        <v>4-12'</v>
      </c>
      <c r="F230" s="64">
        <f ca="1">'Landscape Trees '!G46</f>
        <v>178</v>
      </c>
      <c r="G230" s="65">
        <f ca="1">'Landscape Trees '!H46</f>
        <v>50</v>
      </c>
      <c r="H230" s="51">
        <f>'Landscape Trees '!I46</f>
        <v>0</v>
      </c>
    </row>
    <row r="231" spans="1:8" ht="12.75" x14ac:dyDescent="0.2">
      <c r="A231" s="51" t="str">
        <f ca="1">'Landscape Trees '!A47</f>
        <v>Celtis occidentalis</v>
      </c>
      <c r="B231" s="51" t="str">
        <f ca="1">'Landscape Trees '!C47</f>
        <v>Hackberry</v>
      </c>
      <c r="C231" s="51" t="str">
        <f ca="1">'Landscape Trees '!D47</f>
        <v>#7</v>
      </c>
      <c r="D231" s="51" t="str">
        <f ca="1">'Landscape Trees '!E47</f>
        <v>0.25-0.5"</v>
      </c>
      <c r="E231" s="51" t="str">
        <f ca="1">'Landscape Trees '!F47</f>
        <v>2.5-4'</v>
      </c>
      <c r="F231" s="64">
        <f ca="1">'Landscape Trees '!G47</f>
        <v>18</v>
      </c>
      <c r="G231" s="65">
        <f ca="1">'Landscape Trees '!H47</f>
        <v>70</v>
      </c>
      <c r="H231" s="51">
        <f>'Landscape Trees '!I47</f>
        <v>0</v>
      </c>
    </row>
    <row r="232" spans="1:8" ht="12.75" x14ac:dyDescent="0.2">
      <c r="A232" s="51" t="str">
        <f ca="1">'Landscape Trees '!A48</f>
        <v>Cephalanthus occidentalis</v>
      </c>
      <c r="B232" s="51" t="str">
        <f ca="1">'Landscape Trees '!C48</f>
        <v>Buttonbush</v>
      </c>
      <c r="C232" s="51" t="str">
        <f ca="1">'Landscape Trees '!D48</f>
        <v>#5</v>
      </c>
      <c r="D232" s="51" t="str">
        <f ca="1">'Landscape Trees '!E48</f>
        <v>Multi</v>
      </c>
      <c r="E232" s="51" t="str">
        <f ca="1">'Landscape Trees '!F48</f>
        <v>2-6'</v>
      </c>
      <c r="F232" s="64">
        <f ca="1">'Landscape Trees '!G48</f>
        <v>94</v>
      </c>
      <c r="G232" s="65">
        <f ca="1">'Landscape Trees '!H48</f>
        <v>37</v>
      </c>
      <c r="H232" s="51">
        <f>'Landscape Trees '!I48</f>
        <v>0</v>
      </c>
    </row>
    <row r="233" spans="1:8" ht="12.75" x14ac:dyDescent="0.2">
      <c r="A233" s="51" t="str">
        <f ca="1">'Landscape Trees '!A49</f>
        <v>Cercidiphyllum japonicum</v>
      </c>
      <c r="B233" s="51" t="str">
        <f ca="1">'Landscape Trees '!C49</f>
        <v>Katsura</v>
      </c>
      <c r="C233" s="51" t="str">
        <f ca="1">'Landscape Trees '!D49</f>
        <v>#5</v>
      </c>
      <c r="D233" s="51" t="str">
        <f ca="1">'Landscape Trees '!E49</f>
        <v>0.5-0.75"</v>
      </c>
      <c r="E233" s="51" t="str">
        <f ca="1">'Landscape Trees '!F49</f>
        <v>3-6'</v>
      </c>
      <c r="F233" s="64">
        <f ca="1">'Landscape Trees '!G49</f>
        <v>22</v>
      </c>
      <c r="G233" s="65">
        <f ca="1">'Landscape Trees '!H49</f>
        <v>50</v>
      </c>
      <c r="H233" s="51">
        <f>'Landscape Trees '!I49</f>
        <v>0</v>
      </c>
    </row>
    <row r="234" spans="1:8" ht="12.75" x14ac:dyDescent="0.2">
      <c r="A234" s="51" t="str">
        <f ca="1">'Landscape Trees '!A50</f>
        <v>Cercis alba</v>
      </c>
      <c r="B234" s="51" t="str">
        <f ca="1">'Landscape Trees '!C50</f>
        <v>Whitebud</v>
      </c>
      <c r="C234" s="51" t="str">
        <f ca="1">'Landscape Trees '!D50</f>
        <v>#7</v>
      </c>
      <c r="D234" s="51" t="str">
        <f ca="1">'Landscape Trees '!E50</f>
        <v>0.5-0.75"</v>
      </c>
      <c r="E234" s="51" t="str">
        <f ca="1">'Landscape Trees '!F50</f>
        <v>5-7'</v>
      </c>
      <c r="F234" s="64">
        <f ca="1">'Landscape Trees '!G50</f>
        <v>7</v>
      </c>
      <c r="G234" s="65">
        <f ca="1">'Landscape Trees '!H50</f>
        <v>100</v>
      </c>
      <c r="H234" s="51">
        <f>'Landscape Trees '!I50</f>
        <v>0</v>
      </c>
    </row>
    <row r="235" spans="1:8" ht="12.75" x14ac:dyDescent="0.2">
      <c r="A235" s="51" t="str">
        <f ca="1">'Landscape Trees '!A51</f>
        <v>Cercis canadensis</v>
      </c>
      <c r="B235" s="51" t="str">
        <f ca="1">'Landscape Trees '!C51</f>
        <v>Eastern Redbud</v>
      </c>
      <c r="C235" s="51" t="str">
        <f ca="1">'Landscape Trees '!D51</f>
        <v>#5</v>
      </c>
      <c r="D235" s="51" t="str">
        <f ca="1">'Landscape Trees '!E51</f>
        <v>0.25-1"</v>
      </c>
      <c r="E235" s="51" t="str">
        <f ca="1">'Landscape Trees '!F51</f>
        <v>3-8'</v>
      </c>
      <c r="F235" s="64">
        <f ca="1">'Landscape Trees '!G51</f>
        <v>123</v>
      </c>
      <c r="G235" s="65">
        <f ca="1">'Landscape Trees '!H51</f>
        <v>50</v>
      </c>
      <c r="H235" s="51">
        <f>'Landscape Trees '!I51</f>
        <v>0</v>
      </c>
    </row>
    <row r="236" spans="1:8" ht="12.75" x14ac:dyDescent="0.2">
      <c r="A236" s="51" t="str">
        <f ca="1">'Landscape Trees '!A52</f>
        <v>Cercis canadensis</v>
      </c>
      <c r="B236" s="51" t="str">
        <f ca="1">'Landscape Trees '!C52</f>
        <v>Eastern Redbud</v>
      </c>
      <c r="C236" s="51" t="str">
        <f ca="1">'Landscape Trees '!D52</f>
        <v>#10</v>
      </c>
      <c r="D236" s="51" t="str">
        <f ca="1">'Landscape Trees '!E52</f>
        <v>0.5-1.25"</v>
      </c>
      <c r="E236" s="51" t="str">
        <f ca="1">'Landscape Trees '!F52</f>
        <v>6-8'</v>
      </c>
      <c r="F236" s="64">
        <f ca="1">'Landscape Trees '!G52</f>
        <v>63</v>
      </c>
      <c r="G236" s="65">
        <f ca="1">'Landscape Trees '!H52</f>
        <v>100</v>
      </c>
      <c r="H236" s="51">
        <f>'Landscape Trees '!I52</f>
        <v>0</v>
      </c>
    </row>
    <row r="237" spans="1:8" ht="12.75" x14ac:dyDescent="0.2">
      <c r="A237" s="51" t="str">
        <f ca="1">'Landscape Trees '!A53</f>
        <v>Cercis canadensis</v>
      </c>
      <c r="B237" s="51" t="str">
        <f ca="1">'Landscape Trees '!C53</f>
        <v>Eastern Redbud</v>
      </c>
      <c r="C237" s="51" t="str">
        <f ca="1">'Landscape Trees '!D53</f>
        <v>#15</v>
      </c>
      <c r="D237" s="51" t="str">
        <f ca="1">'Landscape Trees '!E53</f>
        <v>1-1.25"</v>
      </c>
      <c r="E237" s="51" t="str">
        <f ca="1">'Landscape Trees '!F53</f>
        <v>8-12'</v>
      </c>
      <c r="F237" s="64">
        <f ca="1">'Landscape Trees '!G53</f>
        <v>17</v>
      </c>
      <c r="G237" s="65">
        <f ca="1">'Landscape Trees '!H53</f>
        <v>135</v>
      </c>
      <c r="H237" s="51">
        <f>'Landscape Trees '!I53</f>
        <v>0</v>
      </c>
    </row>
    <row r="238" spans="1:8" ht="12.75" x14ac:dyDescent="0.2">
      <c r="A238" s="51" t="str">
        <f ca="1">'Landscape Trees '!A54</f>
        <v>Cercis canadensis 'Appalachian Red'</v>
      </c>
      <c r="B238" s="51" t="str">
        <f ca="1">'Landscape Trees '!C54</f>
        <v>Appalachian Red Redbud</v>
      </c>
      <c r="C238" s="51" t="str">
        <f ca="1">'Landscape Trees '!D54</f>
        <v>#15</v>
      </c>
      <c r="D238" s="51" t="str">
        <f ca="1">'Landscape Trees '!E54</f>
        <v>0.75-1.25"</v>
      </c>
      <c r="E238" s="51" t="str">
        <f ca="1">'Landscape Trees '!F54</f>
        <v>6-10'</v>
      </c>
      <c r="F238" s="64">
        <f ca="1">'Landscape Trees '!G54</f>
        <v>7</v>
      </c>
      <c r="G238" s="65">
        <f ca="1">'Landscape Trees '!H54</f>
        <v>135</v>
      </c>
      <c r="H238" s="51">
        <f>'Landscape Trees '!I54</f>
        <v>0</v>
      </c>
    </row>
    <row r="239" spans="1:8" ht="12.75" x14ac:dyDescent="0.2">
      <c r="A239" s="51" t="str">
        <f ca="1">'Landscape Trees '!A55</f>
        <v>Cercis canadensis 'Forest Pansy'</v>
      </c>
      <c r="B239" s="51" t="str">
        <f ca="1">'Landscape Trees '!C55</f>
        <v>Forest Pansy Redbud</v>
      </c>
      <c r="C239" s="51" t="str">
        <f ca="1">'Landscape Trees '!D55</f>
        <v>#10</v>
      </c>
      <c r="D239" s="51" t="str">
        <f ca="1">'Landscape Trees '!E55</f>
        <v>0.75-1.5"</v>
      </c>
      <c r="E239" s="51" t="str">
        <f ca="1">'Landscape Trees '!F55</f>
        <v>5-9'</v>
      </c>
      <c r="F239" s="64">
        <f ca="1">'Landscape Trees '!G55</f>
        <v>38</v>
      </c>
      <c r="G239" s="65">
        <f ca="1">'Landscape Trees '!H55</f>
        <v>100</v>
      </c>
      <c r="H239" s="51">
        <f>'Landscape Trees '!I55</f>
        <v>0</v>
      </c>
    </row>
    <row r="240" spans="1:8" ht="12.75" x14ac:dyDescent="0.2">
      <c r="A240" s="51" t="str">
        <f ca="1">'Landscape Trees '!A56</f>
        <v>Cercis canadensis 'Hearts of Gold'</v>
      </c>
      <c r="B240" s="51" t="str">
        <f ca="1">'Landscape Trees '!C56</f>
        <v>Hearts of Gold Redbud</v>
      </c>
      <c r="C240" s="51" t="str">
        <f ca="1">'Landscape Trees '!D56</f>
        <v>#15</v>
      </c>
      <c r="D240" s="51" t="str">
        <f ca="1">'Landscape Trees '!E56</f>
        <v>0.75-1"</v>
      </c>
      <c r="E240" s="51" t="str">
        <f ca="1">'Landscape Trees '!F56</f>
        <v>6.5-7'</v>
      </c>
      <c r="F240" s="64">
        <f ca="1">'Landscape Trees '!G56</f>
        <v>5</v>
      </c>
      <c r="G240" s="65">
        <f ca="1">'Landscape Trees '!H56</f>
        <v>135</v>
      </c>
      <c r="H240" s="51">
        <f>'Landscape Trees '!I56</f>
        <v>0</v>
      </c>
    </row>
    <row r="241" spans="1:8" ht="12.75" x14ac:dyDescent="0.2">
      <c r="A241" s="51" t="str">
        <f ca="1">'Landscape Trees '!A57</f>
        <v>Cercis canadensis 'Lavender Twist'</v>
      </c>
      <c r="B241" s="51" t="str">
        <f ca="1">'Landscape Trees '!C57</f>
        <v>Lavender Twist Redbud</v>
      </c>
      <c r="C241" s="51" t="str">
        <f ca="1">'Landscape Trees '!D57</f>
        <v>#5</v>
      </c>
      <c r="D241" s="51" t="str">
        <f ca="1">'Landscape Trees '!E57</f>
        <v>0.5-1"</v>
      </c>
      <c r="E241" s="51" t="str">
        <f ca="1">'Landscape Trees '!F57</f>
        <v>3-5'</v>
      </c>
      <c r="F241" s="64">
        <f ca="1">'Landscape Trees '!G57</f>
        <v>23</v>
      </c>
      <c r="G241" s="65">
        <f ca="1">'Landscape Trees '!H57</f>
        <v>100</v>
      </c>
      <c r="H241" s="51">
        <f>'Landscape Trees '!I57</f>
        <v>0</v>
      </c>
    </row>
    <row r="242" spans="1:8" ht="12.75" x14ac:dyDescent="0.2">
      <c r="A242" s="51" t="str">
        <f ca="1">'Landscape Trees '!A58</f>
        <v>Cercis canadensis 'Ruby Falls'</v>
      </c>
      <c r="B242" s="51" t="str">
        <f ca="1">'Landscape Trees '!C58</f>
        <v>Ruby Falls Redbud</v>
      </c>
      <c r="C242" s="51" t="str">
        <f ca="1">'Landscape Trees '!D58</f>
        <v>#10</v>
      </c>
      <c r="D242" s="51" t="str">
        <f ca="1">'Landscape Trees '!E58</f>
        <v>0.75-1"</v>
      </c>
      <c r="E242" s="51" t="str">
        <f ca="1">'Landscape Trees '!F58</f>
        <v>5.5-6.5'</v>
      </c>
      <c r="F242" s="64">
        <f ca="1">'Landscape Trees '!G58</f>
        <v>2</v>
      </c>
      <c r="G242" s="65">
        <f ca="1">'Landscape Trees '!H58</f>
        <v>135</v>
      </c>
      <c r="H242" s="51">
        <f>'Landscape Trees '!I58</f>
        <v>0</v>
      </c>
    </row>
    <row r="243" spans="1:8" ht="12.75" x14ac:dyDescent="0.2">
      <c r="A243" s="51" t="str">
        <f ca="1">'Landscape Trees '!A59</f>
        <v>Cladastris kentuckea 'Perkins Pink'</v>
      </c>
      <c r="B243" s="51" t="str">
        <f ca="1">'Landscape Trees '!C59</f>
        <v>Perkins Pink Yellowwood</v>
      </c>
      <c r="C243" s="51" t="str">
        <f ca="1">'Landscape Trees '!D59</f>
        <v>#15</v>
      </c>
      <c r="D243" s="51" t="str">
        <f ca="1">'Landscape Trees '!E59</f>
        <v>0.75-1.5"</v>
      </c>
      <c r="E243" s="51" t="str">
        <f ca="1">'Landscape Trees '!F59</f>
        <v>8-10'</v>
      </c>
      <c r="F243" s="64">
        <f ca="1">'Landscape Trees '!G59</f>
        <v>1</v>
      </c>
      <c r="G243" s="65">
        <f ca="1">'Landscape Trees '!H59</f>
        <v>135</v>
      </c>
      <c r="H243" s="51">
        <f>'Landscape Trees '!I59</f>
        <v>0</v>
      </c>
    </row>
    <row r="244" spans="1:8" ht="12.75" x14ac:dyDescent="0.2">
      <c r="A244" s="51" t="str">
        <f ca="1">'Landscape Trees '!A60</f>
        <v>Cladrastis kentukea</v>
      </c>
      <c r="B244" s="51" t="str">
        <f ca="1">'Landscape Trees '!C60</f>
        <v>Yellowwood</v>
      </c>
      <c r="C244" s="51" t="str">
        <f ca="1">'Landscape Trees '!D60</f>
        <v>#5</v>
      </c>
      <c r="D244" s="51" t="str">
        <f ca="1">'Landscape Trees '!E60</f>
        <v>0.5-1"</v>
      </c>
      <c r="E244" s="51" t="str">
        <f ca="1">'Landscape Trees '!F60</f>
        <v>4-8'</v>
      </c>
      <c r="F244" s="64">
        <f ca="1">'Landscape Trees '!G60</f>
        <v>73</v>
      </c>
      <c r="G244" s="65">
        <f ca="1">'Landscape Trees '!H60</f>
        <v>50</v>
      </c>
      <c r="H244" s="51">
        <f>'Landscape Trees '!I60</f>
        <v>0</v>
      </c>
    </row>
    <row r="245" spans="1:8" ht="12.75" x14ac:dyDescent="0.2">
      <c r="A245" s="51" t="str">
        <f ca="1">'Landscape Trees '!A61</f>
        <v>Cladrastis kentukea</v>
      </c>
      <c r="B245" s="51" t="str">
        <f ca="1">'Landscape Trees '!C61</f>
        <v>Yellowwood</v>
      </c>
      <c r="C245" s="51" t="str">
        <f ca="1">'Landscape Trees '!D61</f>
        <v>#15</v>
      </c>
      <c r="D245" s="51" t="str">
        <f ca="1">'Landscape Trees '!E61</f>
        <v>1-1.75"</v>
      </c>
      <c r="E245" s="51" t="str">
        <f ca="1">'Landscape Trees '!F61</f>
        <v>8-10'</v>
      </c>
      <c r="F245" s="64">
        <f ca="1">'Landscape Trees '!G61</f>
        <v>4</v>
      </c>
      <c r="G245" s="65">
        <f ca="1">'Landscape Trees '!H61</f>
        <v>135</v>
      </c>
      <c r="H245" s="51">
        <f>'Landscape Trees '!I61</f>
        <v>0</v>
      </c>
    </row>
    <row r="246" spans="1:8" ht="12.75" x14ac:dyDescent="0.2">
      <c r="A246" s="51" t="str">
        <f ca="1">'Landscape Trees '!A62</f>
        <v xml:space="preserve">Cornus 'Rutdan' Celestial </v>
      </c>
      <c r="B246" s="51" t="str">
        <f ca="1">'Landscape Trees '!C62</f>
        <v>Celestial Dogwood</v>
      </c>
      <c r="C246" s="51" t="str">
        <f ca="1">'Landscape Trees '!D62</f>
        <v>#10</v>
      </c>
      <c r="D246" s="51" t="str">
        <f ca="1">'Landscape Trees '!E62</f>
        <v>0.5-1.25"</v>
      </c>
      <c r="E246" s="51" t="str">
        <f ca="1">'Landscape Trees '!F62</f>
        <v>4-10'</v>
      </c>
      <c r="F246" s="64">
        <f ca="1">'Landscape Trees '!G62</f>
        <v>18</v>
      </c>
      <c r="G246" s="65">
        <f ca="1">'Landscape Trees '!H62</f>
        <v>100</v>
      </c>
      <c r="H246" s="51">
        <f>'Landscape Trees '!I62</f>
        <v>0</v>
      </c>
    </row>
    <row r="247" spans="1:8" ht="12.75" x14ac:dyDescent="0.2">
      <c r="A247" s="51" t="str">
        <f ca="1">'Landscape Trees '!A63</f>
        <v>Cornus alternifolia</v>
      </c>
      <c r="B247" s="51" t="str">
        <f ca="1">'Landscape Trees '!C63</f>
        <v>Pagoda Dogwood</v>
      </c>
      <c r="C247" s="51" t="str">
        <f ca="1">'Landscape Trees '!D63</f>
        <v>#5</v>
      </c>
      <c r="D247" s="51" t="str">
        <f ca="1">'Landscape Trees '!E63</f>
        <v>0.25-0.5"</v>
      </c>
      <c r="E247" s="51" t="str">
        <f ca="1">'Landscape Trees '!F63</f>
        <v>2-5.5'</v>
      </c>
      <c r="F247" s="64">
        <f ca="1">'Landscape Trees '!G63</f>
        <v>182</v>
      </c>
      <c r="G247" s="65">
        <f ca="1">'Landscape Trees '!H63</f>
        <v>50</v>
      </c>
      <c r="H247" s="51">
        <f>'Landscape Trees '!I63</f>
        <v>0</v>
      </c>
    </row>
    <row r="248" spans="1:8" ht="12.75" x14ac:dyDescent="0.2">
      <c r="A248" s="51" t="str">
        <f ca="1">'Landscape Trees '!A64</f>
        <v>Cornus amomum</v>
      </c>
      <c r="B248" s="51" t="str">
        <f ca="1">'Landscape Trees '!C64</f>
        <v>Silky Dogwood</v>
      </c>
      <c r="C248" s="51" t="str">
        <f ca="1">'Landscape Trees '!D64</f>
        <v>#5</v>
      </c>
      <c r="D248" s="51" t="str">
        <f ca="1">'Landscape Trees '!E64</f>
        <v>Multi</v>
      </c>
      <c r="E248" s="51" t="str">
        <f ca="1">'Landscape Trees '!F64</f>
        <v>1.5-4.5'</v>
      </c>
      <c r="F248" s="64">
        <f ca="1">'Landscape Trees '!G64</f>
        <v>7</v>
      </c>
      <c r="G248" s="65">
        <f ca="1">'Landscape Trees '!H64</f>
        <v>37</v>
      </c>
      <c r="H248" s="51">
        <f>'Landscape Trees '!I64</f>
        <v>0</v>
      </c>
    </row>
    <row r="249" spans="1:8" ht="12.75" x14ac:dyDescent="0.2">
      <c r="A249" s="51" t="str">
        <f ca="1">'Landscape Trees '!A65</f>
        <v>Cornus florida</v>
      </c>
      <c r="B249" s="51" t="str">
        <f ca="1">'Landscape Trees '!C65</f>
        <v>White Dogwood</v>
      </c>
      <c r="C249" s="51" t="str">
        <f ca="1">'Landscape Trees '!D65</f>
        <v>#5</v>
      </c>
      <c r="D249" s="51" t="str">
        <f ca="1">'Landscape Trees '!E65</f>
        <v>0.25-1"</v>
      </c>
      <c r="E249" s="51" t="str">
        <f ca="1">'Landscape Trees '!F65</f>
        <v>2-7'</v>
      </c>
      <c r="F249" s="64">
        <f ca="1">'Landscape Trees '!G65</f>
        <v>139</v>
      </c>
      <c r="G249" s="65">
        <f ca="1">'Landscape Trees '!H65</f>
        <v>50</v>
      </c>
      <c r="H249" s="51">
        <f>'Landscape Trees '!I65</f>
        <v>0</v>
      </c>
    </row>
    <row r="250" spans="1:8" ht="12.75" x14ac:dyDescent="0.2">
      <c r="A250" s="51" t="str">
        <f ca="1">'Landscape Trees '!A66</f>
        <v>Cornus florida</v>
      </c>
      <c r="B250" s="51" t="str">
        <f ca="1">'Landscape Trees '!C66</f>
        <v>White Dogwood</v>
      </c>
      <c r="C250" s="51" t="str">
        <f ca="1">'Landscape Trees '!D66</f>
        <v>#7</v>
      </c>
      <c r="D250" s="51" t="str">
        <f ca="1">'Landscape Trees '!E66</f>
        <v>0.75-1"</v>
      </c>
      <c r="E250" s="51" t="str">
        <f ca="1">'Landscape Trees '!F66</f>
        <v>4-7'</v>
      </c>
      <c r="F250" s="64">
        <f ca="1">'Landscape Trees '!G66</f>
        <v>121</v>
      </c>
      <c r="G250" s="65">
        <f ca="1">'Landscape Trees '!H66</f>
        <v>70</v>
      </c>
      <c r="H250" s="51">
        <f>'Landscape Trees '!I66</f>
        <v>0</v>
      </c>
    </row>
    <row r="251" spans="1:8" ht="12.75" x14ac:dyDescent="0.2">
      <c r="A251" s="51" t="str">
        <f ca="1">'Landscape Trees '!A67</f>
        <v>Cornus florida 'Cherokee Brave'</v>
      </c>
      <c r="B251" s="51" t="str">
        <f ca="1">'Landscape Trees '!C67</f>
        <v>Cherokee Brave Dogwood</v>
      </c>
      <c r="C251" s="51" t="str">
        <f ca="1">'Landscape Trees '!D67</f>
        <v>#5</v>
      </c>
      <c r="D251" s="51" t="str">
        <f ca="1">'Landscape Trees '!E67</f>
        <v>0.25-1"</v>
      </c>
      <c r="E251" s="51" t="str">
        <f ca="1">'Landscape Trees '!F67</f>
        <v>3-5.5'</v>
      </c>
      <c r="F251" s="64">
        <f ca="1">'Landscape Trees '!G67</f>
        <v>36</v>
      </c>
      <c r="G251" s="65">
        <f ca="1">'Landscape Trees '!H67</f>
        <v>50</v>
      </c>
      <c r="H251" s="51">
        <f>'Landscape Trees '!I67</f>
        <v>0</v>
      </c>
    </row>
    <row r="252" spans="1:8" ht="12.75" x14ac:dyDescent="0.2">
      <c r="A252" s="51" t="str">
        <f ca="1">'Landscape Trees '!A68</f>
        <v>Cornus kousa</v>
      </c>
      <c r="B252" s="51" t="str">
        <f ca="1">'Landscape Trees '!C68</f>
        <v>Kousa Dogwood</v>
      </c>
      <c r="C252" s="51" t="str">
        <f ca="1">'Landscape Trees '!D68</f>
        <v>#10</v>
      </c>
      <c r="D252" s="51" t="str">
        <f ca="1">'Landscape Trees '!E68</f>
        <v>1.5-1.5"</v>
      </c>
      <c r="E252" s="51" t="str">
        <f ca="1">'Landscape Trees '!F68</f>
        <v>7-7'</v>
      </c>
      <c r="F252" s="64">
        <f ca="1">'Landscape Trees '!G68</f>
        <v>1</v>
      </c>
      <c r="G252" s="65">
        <f ca="1">'Landscape Trees '!H68</f>
        <v>100</v>
      </c>
      <c r="H252" s="51">
        <f>'Landscape Trees '!I68</f>
        <v>0</v>
      </c>
    </row>
    <row r="253" spans="1:8" ht="12.75" x14ac:dyDescent="0.2">
      <c r="A253" s="51" t="str">
        <f ca="1">'Landscape Trees '!A69</f>
        <v>Cornus kousa</v>
      </c>
      <c r="B253" s="51" t="str">
        <f ca="1">'Landscape Trees '!C69</f>
        <v>Kousa Dogwood</v>
      </c>
      <c r="C253" s="51" t="str">
        <f ca="1">'Landscape Trees '!D69</f>
        <v>#15</v>
      </c>
      <c r="D253" s="51" t="str">
        <f ca="1">'Landscape Trees '!E69</f>
        <v>0.75-1"</v>
      </c>
      <c r="E253" s="51" t="str">
        <f ca="1">'Landscape Trees '!F69</f>
        <v>5-7'</v>
      </c>
      <c r="F253" s="64">
        <f ca="1">'Landscape Trees '!G69</f>
        <v>14</v>
      </c>
      <c r="G253" s="65">
        <f ca="1">'Landscape Trees '!H69</f>
        <v>135</v>
      </c>
      <c r="H253" s="51">
        <f>'Landscape Trees '!I69</f>
        <v>0</v>
      </c>
    </row>
    <row r="254" spans="1:8" ht="12.75" x14ac:dyDescent="0.2">
      <c r="A254" s="51" t="str">
        <f ca="1">'Landscape Trees '!A70</f>
        <v>Cornus kousa 'Rutpink'</v>
      </c>
      <c r="B254" s="51" t="str">
        <f ca="1">'Landscape Trees '!C70</f>
        <v>Scarlet Fire Dogwood</v>
      </c>
      <c r="C254" s="51" t="str">
        <f ca="1">'Landscape Trees '!D70</f>
        <v>#7</v>
      </c>
      <c r="D254" s="51" t="str">
        <f ca="1">'Landscape Trees '!E70</f>
        <v>0.5-1.25"</v>
      </c>
      <c r="E254" s="51" t="str">
        <f ca="1">'Landscape Trees '!F70</f>
        <v>4-9'</v>
      </c>
      <c r="F254" s="64">
        <f ca="1">'Landscape Trees '!G70</f>
        <v>51</v>
      </c>
      <c r="G254" s="65">
        <f ca="1">'Landscape Trees '!H70</f>
        <v>70</v>
      </c>
      <c r="H254" s="51">
        <f>'Landscape Trees '!I70</f>
        <v>0</v>
      </c>
    </row>
    <row r="255" spans="1:8" ht="12.75" x14ac:dyDescent="0.2">
      <c r="A255" s="51" t="str">
        <f ca="1">'Landscape Trees '!A71</f>
        <v>Cornus kousa 'Rutpink'</v>
      </c>
      <c r="B255" s="51" t="str">
        <f ca="1">'Landscape Trees '!C71</f>
        <v>Scarlet Fire Dogwood</v>
      </c>
      <c r="C255" s="51" t="str">
        <f ca="1">'Landscape Trees '!D71</f>
        <v>#10</v>
      </c>
      <c r="D255" s="51" t="str">
        <f ca="1">'Landscape Trees '!E71</f>
        <v>1.25-1.5"</v>
      </c>
      <c r="E255" s="51" t="str">
        <f ca="1">'Landscape Trees '!F71</f>
        <v>6.5-9.5'</v>
      </c>
      <c r="F255" s="64">
        <f ca="1">'Landscape Trees '!G71</f>
        <v>1</v>
      </c>
      <c r="G255" s="65">
        <f ca="1">'Landscape Trees '!H71</f>
        <v>100</v>
      </c>
      <c r="H255" s="51">
        <f>'Landscape Trees '!I71</f>
        <v>0</v>
      </c>
    </row>
    <row r="256" spans="1:8" ht="12.75" x14ac:dyDescent="0.2">
      <c r="A256" s="51" t="str">
        <f ca="1">'Landscape Trees '!A72</f>
        <v>Cornus racemosa</v>
      </c>
      <c r="B256" s="51" t="str">
        <f ca="1">'Landscape Trees '!C72</f>
        <v>Gray Dogwood</v>
      </c>
      <c r="C256" s="51" t="str">
        <f ca="1">'Landscape Trees '!D72</f>
        <v>#5</v>
      </c>
      <c r="D256" s="51" t="str">
        <f ca="1">'Landscape Trees '!E72</f>
        <v>0.25-0.25"</v>
      </c>
      <c r="E256" s="51" t="str">
        <f ca="1">'Landscape Trees '!F72</f>
        <v>2-3.5'</v>
      </c>
      <c r="F256" s="64">
        <f ca="1">'Landscape Trees '!G72</f>
        <v>10</v>
      </c>
      <c r="G256" s="65">
        <f ca="1">'Landscape Trees '!H72</f>
        <v>37</v>
      </c>
      <c r="H256" s="51">
        <f>'Landscape Trees '!I72</f>
        <v>0</v>
      </c>
    </row>
    <row r="257" spans="1:8" ht="12.75" x14ac:dyDescent="0.2">
      <c r="A257" s="51" t="str">
        <f ca="1">'Landscape Trees '!A73</f>
        <v>Cornus racemosa</v>
      </c>
      <c r="B257" s="51" t="str">
        <f ca="1">'Landscape Trees '!C73</f>
        <v>Gray Dogwood</v>
      </c>
      <c r="C257" s="51" t="str">
        <f ca="1">'Landscape Trees '!D73</f>
        <v>#5</v>
      </c>
      <c r="D257" s="51" t="str">
        <f ca="1">'Landscape Trees '!E73</f>
        <v>Multi</v>
      </c>
      <c r="E257" s="51" t="str">
        <f ca="1">'Landscape Trees '!F73</f>
        <v>2-3.5'</v>
      </c>
      <c r="F257" s="64">
        <f ca="1">'Landscape Trees '!G73</f>
        <v>1</v>
      </c>
      <c r="G257" s="65">
        <f ca="1">'Landscape Trees '!H73</f>
        <v>37</v>
      </c>
      <c r="H257" s="51">
        <f>'Landscape Trees '!I73</f>
        <v>0</v>
      </c>
    </row>
    <row r="258" spans="1:8" ht="12.75" x14ac:dyDescent="0.2">
      <c r="A258" s="51" t="str">
        <f ca="1">'Landscape Trees '!A74</f>
        <v>Cornus sericea</v>
      </c>
      <c r="B258" s="51" t="str">
        <f ca="1">'Landscape Trees '!C74</f>
        <v>Red Twig Dogwood</v>
      </c>
      <c r="C258" s="51" t="str">
        <f ca="1">'Landscape Trees '!D74</f>
        <v>#5</v>
      </c>
      <c r="D258" s="51" t="str">
        <f ca="1">'Landscape Trees '!E74</f>
        <v>0.5-0.5"</v>
      </c>
      <c r="E258" s="51" t="str">
        <f ca="1">'Landscape Trees '!F74</f>
        <v>2-3.5'</v>
      </c>
      <c r="F258" s="64">
        <f ca="1">'Landscape Trees '!G74</f>
        <v>1</v>
      </c>
      <c r="G258" s="65">
        <f ca="1">'Landscape Trees '!H74</f>
        <v>37</v>
      </c>
      <c r="H258" s="51">
        <f>'Landscape Trees '!I74</f>
        <v>0</v>
      </c>
    </row>
    <row r="259" spans="1:8" ht="12.75" x14ac:dyDescent="0.2">
      <c r="A259" s="51" t="str">
        <f ca="1">'Landscape Trees '!A75</f>
        <v>Cornus sericea</v>
      </c>
      <c r="B259" s="51" t="str">
        <f ca="1">'Landscape Trees '!C75</f>
        <v>Red Twig Dogwood</v>
      </c>
      <c r="C259" s="51" t="str">
        <f ca="1">'Landscape Trees '!D75</f>
        <v>#5</v>
      </c>
      <c r="D259" s="51" t="str">
        <f ca="1">'Landscape Trees '!E75</f>
        <v>Multi</v>
      </c>
      <c r="E259" s="51" t="str">
        <f ca="1">'Landscape Trees '!F75</f>
        <v>2-3.5'</v>
      </c>
      <c r="F259" s="64">
        <f ca="1">'Landscape Trees '!G75</f>
        <v>19</v>
      </c>
      <c r="G259" s="65">
        <f ca="1">'Landscape Trees '!H75</f>
        <v>37</v>
      </c>
      <c r="H259" s="51">
        <f>'Landscape Trees '!I75</f>
        <v>0</v>
      </c>
    </row>
    <row r="260" spans="1:8" ht="12.75" x14ac:dyDescent="0.2">
      <c r="A260" s="51" t="str">
        <f ca="1">'Landscape Trees '!A76</f>
        <v>Cornus x 'Rutgan' Stellar Pink</v>
      </c>
      <c r="B260" s="51" t="str">
        <f ca="1">'Landscape Trees '!C76</f>
        <v>Stellar Pink Dogwood</v>
      </c>
      <c r="C260" s="51" t="str">
        <f ca="1">'Landscape Trees '!D76</f>
        <v>#10</v>
      </c>
      <c r="D260" s="51" t="str">
        <f ca="1">'Landscape Trees '!E76</f>
        <v>0.5-1.75"</v>
      </c>
      <c r="E260" s="51" t="str">
        <f ca="1">'Landscape Trees '!F76</f>
        <v>3.5-11'</v>
      </c>
      <c r="F260" s="64">
        <f ca="1">'Landscape Trees '!G76</f>
        <v>22</v>
      </c>
      <c r="G260" s="65">
        <f ca="1">'Landscape Trees '!H76</f>
        <v>100</v>
      </c>
      <c r="H260" s="51">
        <f>'Landscape Trees '!I76</f>
        <v>0</v>
      </c>
    </row>
    <row r="261" spans="1:8" ht="12.75" x14ac:dyDescent="0.2">
      <c r="A261" s="51" t="str">
        <f ca="1">'Landscape Trees '!A77</f>
        <v>Cornus x Rutcan 'Constellation'</v>
      </c>
      <c r="B261" s="51" t="str">
        <f ca="1">'Landscape Trees '!C77</f>
        <v>Constellation Dogwood</v>
      </c>
      <c r="C261" s="51" t="str">
        <f ca="1">'Landscape Trees '!D77</f>
        <v>#10</v>
      </c>
      <c r="D261" s="51" t="str">
        <f ca="1">'Landscape Trees '!E77</f>
        <v>1-1.25"</v>
      </c>
      <c r="E261" s="51" t="str">
        <f ca="1">'Landscape Trees '!F77</f>
        <v>7-10'</v>
      </c>
      <c r="F261" s="64">
        <f ca="1">'Landscape Trees '!G77</f>
        <v>9</v>
      </c>
      <c r="G261" s="65">
        <f ca="1">'Landscape Trees '!H77</f>
        <v>100</v>
      </c>
      <c r="H261" s="51">
        <f>'Landscape Trees '!I77</f>
        <v>0</v>
      </c>
    </row>
    <row r="262" spans="1:8" ht="12.75" x14ac:dyDescent="0.2">
      <c r="A262" s="51" t="str">
        <f ca="1">'Landscape Trees '!A78</f>
        <v>Cornus x Rutcan 'Constellation'</v>
      </c>
      <c r="B262" s="51" t="str">
        <f ca="1">'Landscape Trees '!C78</f>
        <v>Constellation Dogwood</v>
      </c>
      <c r="C262" s="51" t="str">
        <f ca="1">'Landscape Trees '!D78</f>
        <v>#15</v>
      </c>
      <c r="D262" s="51" t="str">
        <f ca="1">'Landscape Trees '!E78</f>
        <v>1-1.5"</v>
      </c>
      <c r="E262" s="51" t="str">
        <f ca="1">'Landscape Trees '!F78</f>
        <v>8-9'</v>
      </c>
      <c r="F262" s="64">
        <f ca="1">'Landscape Trees '!G78</f>
        <v>25</v>
      </c>
      <c r="G262" s="65">
        <f ca="1">'Landscape Trees '!H78</f>
        <v>135</v>
      </c>
      <c r="H262" s="51">
        <f>'Landscape Trees '!I78</f>
        <v>0</v>
      </c>
    </row>
    <row r="263" spans="1:8" ht="12.75" x14ac:dyDescent="0.2">
      <c r="A263" s="51" t="str">
        <f ca="1">'Landscape Trees '!A79</f>
        <v>Cotinus coggygria 'Royal Purple'</v>
      </c>
      <c r="B263" s="51" t="str">
        <f ca="1">'Landscape Trees '!C79</f>
        <v>Royal Purple Smokebush</v>
      </c>
      <c r="C263" s="51" t="str">
        <f ca="1">'Landscape Trees '!D79</f>
        <v>#5</v>
      </c>
      <c r="D263" s="51" t="str">
        <f ca="1">'Landscape Trees '!E79</f>
        <v>Multi</v>
      </c>
      <c r="E263" s="51" t="str">
        <f ca="1">'Landscape Trees '!F79</f>
        <v>8-11'</v>
      </c>
      <c r="F263" s="64">
        <f ca="1">'Landscape Trees '!G79</f>
        <v>4</v>
      </c>
      <c r="G263" s="65">
        <f ca="1">'Landscape Trees '!H79</f>
        <v>50</v>
      </c>
      <c r="H263" s="51">
        <f>'Landscape Trees '!I79</f>
        <v>0</v>
      </c>
    </row>
    <row r="264" spans="1:8" ht="12.75" x14ac:dyDescent="0.2">
      <c r="A264" s="51" t="str">
        <f ca="1">'Landscape Trees '!A80</f>
        <v>Cotinus obovatus</v>
      </c>
      <c r="B264" s="51" t="str">
        <f ca="1">'Landscape Trees '!C80</f>
        <v>Smokebush (Native)</v>
      </c>
      <c r="C264" s="51" t="str">
        <f ca="1">'Landscape Trees '!D80</f>
        <v>#5</v>
      </c>
      <c r="D264" s="51" t="str">
        <f ca="1">'Landscape Trees '!E80</f>
        <v>0.75-1"</v>
      </c>
      <c r="E264" s="51" t="str">
        <f ca="1">'Landscape Trees '!F80</f>
        <v>7-12'</v>
      </c>
      <c r="F264" s="64">
        <f ca="1">'Landscape Trees '!G80</f>
        <v>13</v>
      </c>
      <c r="G264" s="65">
        <f ca="1">'Landscape Trees '!H80</f>
        <v>50</v>
      </c>
      <c r="H264" s="51">
        <f>'Landscape Trees '!I80</f>
        <v>0</v>
      </c>
    </row>
    <row r="265" spans="1:8" ht="12.75" x14ac:dyDescent="0.2">
      <c r="A265" s="51" t="str">
        <f ca="1">'Landscape Trees '!A81</f>
        <v>Crataegus marshallii</v>
      </c>
      <c r="B265" s="51" t="str">
        <f ca="1">'Landscape Trees '!C81</f>
        <v>Parsley Hawthorn</v>
      </c>
      <c r="C265" s="51" t="str">
        <f ca="1">'Landscape Trees '!D81</f>
        <v>#5</v>
      </c>
      <c r="D265" s="51" t="str">
        <f ca="1">'Landscape Trees '!E81</f>
        <v>0.5-1"</v>
      </c>
      <c r="E265" s="51" t="str">
        <f ca="1">'Landscape Trees '!F81</f>
        <v>3-8'</v>
      </c>
      <c r="F265" s="64">
        <f ca="1">'Landscape Trees '!G81</f>
        <v>32</v>
      </c>
      <c r="G265" s="65">
        <f ca="1">'Landscape Trees '!H81</f>
        <v>50</v>
      </c>
      <c r="H265" s="51">
        <f>'Landscape Trees '!I81</f>
        <v>0</v>
      </c>
    </row>
    <row r="266" spans="1:8" ht="12.75" x14ac:dyDescent="0.2">
      <c r="A266" s="51" t="str">
        <f ca="1">'Landscape Trees '!A82</f>
        <v>Crataegus viridis 'Winter King'</v>
      </c>
      <c r="B266" s="51" t="str">
        <f ca="1">'Landscape Trees '!C82</f>
        <v>Winter King Hawthorn</v>
      </c>
      <c r="C266" s="51" t="str">
        <f ca="1">'Landscape Trees '!D82</f>
        <v>#5</v>
      </c>
      <c r="D266" s="51" t="str">
        <f ca="1">'Landscape Trees '!E82</f>
        <v>0.75-1"</v>
      </c>
      <c r="E266" s="51" t="str">
        <f ca="1">'Landscape Trees '!F82</f>
        <v>7-9'</v>
      </c>
      <c r="F266" s="64">
        <f ca="1">'Landscape Trees '!G82</f>
        <v>1</v>
      </c>
      <c r="G266" s="65">
        <f ca="1">'Landscape Trees '!H82</f>
        <v>70</v>
      </c>
      <c r="H266" s="51">
        <f>'Landscape Trees '!I82</f>
        <v>0</v>
      </c>
    </row>
    <row r="267" spans="1:8" ht="12.75" x14ac:dyDescent="0.2">
      <c r="A267" s="51" t="str">
        <f ca="1">'Landscape Trees '!A83</f>
        <v>Crataegus viridis 'Winter King'</v>
      </c>
      <c r="B267" s="51" t="str">
        <f ca="1">'Landscape Trees '!C83</f>
        <v>Winter King Hawthorn</v>
      </c>
      <c r="C267" s="51" t="str">
        <f ca="1">'Landscape Trees '!D83</f>
        <v>#10</v>
      </c>
      <c r="D267" s="51" t="str">
        <f ca="1">'Landscape Trees '!E83</f>
        <v>0.75-1"</v>
      </c>
      <c r="E267" s="51" t="str">
        <f ca="1">'Landscape Trees '!F83</f>
        <v>6-7.5'</v>
      </c>
      <c r="F267" s="64">
        <f ca="1">'Landscape Trees '!G83</f>
        <v>11</v>
      </c>
      <c r="G267" s="65">
        <f ca="1">'Landscape Trees '!H83</f>
        <v>100</v>
      </c>
      <c r="H267" s="51">
        <f>'Landscape Trees '!I83</f>
        <v>0</v>
      </c>
    </row>
    <row r="268" spans="1:8" ht="12.75" x14ac:dyDescent="0.2">
      <c r="A268" s="51" t="str">
        <f ca="1">'Landscape Trees '!A84</f>
        <v>Crataegus viridis 'Winter King'</v>
      </c>
      <c r="B268" s="51" t="str">
        <f ca="1">'Landscape Trees '!C84</f>
        <v>Winter King Hawthorn</v>
      </c>
      <c r="C268" s="51" t="str">
        <f ca="1">'Landscape Trees '!D84</f>
        <v>#15</v>
      </c>
      <c r="D268" s="51" t="str">
        <f ca="1">'Landscape Trees '!E84</f>
        <v>1-1.5"</v>
      </c>
      <c r="E268" s="51" t="str">
        <f ca="1">'Landscape Trees '!F84</f>
        <v>9-11'</v>
      </c>
      <c r="F268" s="64">
        <f ca="1">'Landscape Trees '!G84</f>
        <v>30</v>
      </c>
      <c r="G268" s="65">
        <f ca="1">'Landscape Trees '!H84</f>
        <v>135</v>
      </c>
      <c r="H268" s="51">
        <f>'Landscape Trees '!I84</f>
        <v>0</v>
      </c>
    </row>
    <row r="269" spans="1:8" ht="12.75" x14ac:dyDescent="0.2">
      <c r="A269" s="51" t="str">
        <f ca="1">'Landscape Trees '!A85</f>
        <v>Cryptomeria japonica 'Yoshino'</v>
      </c>
      <c r="B269" s="51" t="str">
        <f ca="1">'Landscape Trees '!C85</f>
        <v>Yoshino Cryptomeria</v>
      </c>
      <c r="C269" s="51" t="str">
        <f ca="1">'Landscape Trees '!D85</f>
        <v>#10</v>
      </c>
      <c r="D269" s="51" t="str">
        <f ca="1">'Landscape Trees '!E85</f>
        <v>0.5-0.75"</v>
      </c>
      <c r="E269" s="51" t="str">
        <f ca="1">'Landscape Trees '!F85</f>
        <v>3-4'</v>
      </c>
      <c r="F269" s="64">
        <f ca="1">'Landscape Trees '!G85</f>
        <v>1</v>
      </c>
      <c r="G269" s="65">
        <f ca="1">'Landscape Trees '!H85</f>
        <v>100</v>
      </c>
      <c r="H269" s="51">
        <f>'Landscape Trees '!I85</f>
        <v>0</v>
      </c>
    </row>
    <row r="270" spans="1:8" ht="12.75" x14ac:dyDescent="0.2">
      <c r="A270" s="51" t="str">
        <f ca="1">'Landscape Trees '!A86</f>
        <v>Diospyros virginiana</v>
      </c>
      <c r="B270" s="51" t="str">
        <f ca="1">'Landscape Trees '!C86</f>
        <v>American Persimmon</v>
      </c>
      <c r="C270" s="51" t="str">
        <f ca="1">'Landscape Trees '!D86</f>
        <v>#5</v>
      </c>
      <c r="D270" s="51" t="str">
        <f ca="1">'Landscape Trees '!E86</f>
        <v>0.25-1"</v>
      </c>
      <c r="E270" s="51" t="str">
        <f ca="1">'Landscape Trees '!F86</f>
        <v>2-7'</v>
      </c>
      <c r="F270" s="64">
        <f ca="1">'Landscape Trees '!G86</f>
        <v>114</v>
      </c>
      <c r="G270" s="65">
        <f ca="1">'Landscape Trees '!H86</f>
        <v>50</v>
      </c>
      <c r="H270" s="51">
        <f>'Landscape Trees '!I86</f>
        <v>0</v>
      </c>
    </row>
    <row r="271" spans="1:8" ht="12.75" x14ac:dyDescent="0.2">
      <c r="A271" s="51" t="str">
        <f ca="1">'Landscape Trees '!A87</f>
        <v>Euonymus americanus</v>
      </c>
      <c r="B271" s="51" t="str">
        <f ca="1">'Landscape Trees '!C87</f>
        <v>Strawberry Bush</v>
      </c>
      <c r="C271" s="51" t="str">
        <f ca="1">'Landscape Trees '!D87</f>
        <v>#5</v>
      </c>
      <c r="D271" s="51" t="str">
        <f ca="1">'Landscape Trees '!E87</f>
        <v>Multi</v>
      </c>
      <c r="E271" s="51" t="str">
        <f ca="1">'Landscape Trees '!F87</f>
        <v>0.5-0.5'</v>
      </c>
      <c r="F271" s="64">
        <f ca="1">'Landscape Trees '!G87</f>
        <v>6</v>
      </c>
      <c r="G271" s="65">
        <f ca="1">'Landscape Trees '!H87</f>
        <v>50</v>
      </c>
      <c r="H271" s="51">
        <f>'Landscape Trees '!I87</f>
        <v>0</v>
      </c>
    </row>
    <row r="272" spans="1:8" ht="12.75" x14ac:dyDescent="0.2">
      <c r="A272" s="51" t="str">
        <f ca="1">'Landscape Trees '!A88</f>
        <v>Fagus grandiflora</v>
      </c>
      <c r="B272" s="51" t="str">
        <f ca="1">'Landscape Trees '!C88</f>
        <v>American Beech</v>
      </c>
      <c r="C272" s="51" t="str">
        <f ca="1">'Landscape Trees '!D88</f>
        <v>#5</v>
      </c>
      <c r="D272" s="51" t="str">
        <f ca="1">'Landscape Trees '!E88</f>
        <v>0.75-1"</v>
      </c>
      <c r="E272" s="51" t="str">
        <f ca="1">'Landscape Trees '!F88</f>
        <v>4-7'</v>
      </c>
      <c r="F272" s="64">
        <f ca="1">'Landscape Trees '!G88</f>
        <v>48</v>
      </c>
      <c r="G272" s="65">
        <f ca="1">'Landscape Trees '!H88</f>
        <v>70</v>
      </c>
      <c r="H272" s="51">
        <f>'Landscape Trees '!I88</f>
        <v>0</v>
      </c>
    </row>
    <row r="273" spans="1:8" ht="12.75" x14ac:dyDescent="0.2">
      <c r="A273" s="51" t="str">
        <f ca="1">'Landscape Trees '!A89</f>
        <v>Fothergilla x 'Mt. Airy'</v>
      </c>
      <c r="B273" s="51" t="str">
        <f ca="1">'Landscape Trees '!C89</f>
        <v>Mt. Airy Fothergilla</v>
      </c>
      <c r="C273" s="51" t="str">
        <f ca="1">'Landscape Trees '!D89</f>
        <v>#5</v>
      </c>
      <c r="D273" s="51" t="str">
        <f ca="1">'Landscape Trees '!E89</f>
        <v>Multi</v>
      </c>
      <c r="E273" s="51" t="str">
        <f ca="1">'Landscape Trees '!F89</f>
        <v>1.5-2'</v>
      </c>
      <c r="F273" s="64">
        <f ca="1">'Landscape Trees '!G89</f>
        <v>34</v>
      </c>
      <c r="G273" s="65">
        <f ca="1">'Landscape Trees '!H89</f>
        <v>37</v>
      </c>
      <c r="H273" s="51">
        <f>'Landscape Trees '!I89</f>
        <v>0</v>
      </c>
    </row>
    <row r="274" spans="1:8" ht="12.75" x14ac:dyDescent="0.2">
      <c r="A274" s="51" t="str">
        <f ca="1">'Landscape Trees '!A90</f>
        <v>Ginkgo biloba 'Autumn Gold'</v>
      </c>
      <c r="B274" s="51" t="str">
        <f ca="1">'Landscape Trees '!C90</f>
        <v>Autumn Gold Ginkgo</v>
      </c>
      <c r="C274" s="51" t="str">
        <f ca="1">'Landscape Trees '!D90</f>
        <v>#5</v>
      </c>
      <c r="D274" s="51" t="str">
        <f ca="1">'Landscape Trees '!E90</f>
        <v>0.5-0.75"</v>
      </c>
      <c r="E274" s="51" t="str">
        <f ca="1">'Landscape Trees '!F90</f>
        <v>4-4.5'</v>
      </c>
      <c r="F274" s="64">
        <f ca="1">'Landscape Trees '!G90</f>
        <v>1</v>
      </c>
      <c r="G274" s="65">
        <f ca="1">'Landscape Trees '!H90</f>
        <v>70</v>
      </c>
      <c r="H274" s="51">
        <f>'Landscape Trees '!I90</f>
        <v>0</v>
      </c>
    </row>
    <row r="275" spans="1:8" ht="12.75" x14ac:dyDescent="0.2">
      <c r="A275" s="51" t="str">
        <f ca="1">'Landscape Trees '!A91</f>
        <v>Ginkgo biloba 'Autumn Gold'</v>
      </c>
      <c r="B275" s="51" t="str">
        <f ca="1">'Landscape Trees '!C91</f>
        <v>Autumn Gold Ginkgo</v>
      </c>
      <c r="C275" s="51" t="str">
        <f ca="1">'Landscape Trees '!D91</f>
        <v>#7</v>
      </c>
      <c r="D275" s="51" t="str">
        <f ca="1">'Landscape Trees '!E91</f>
        <v>0.5-0.75"</v>
      </c>
      <c r="E275" s="51" t="str">
        <f ca="1">'Landscape Trees '!F91</f>
        <v>4-7'</v>
      </c>
      <c r="F275" s="64">
        <f ca="1">'Landscape Trees '!G91</f>
        <v>19</v>
      </c>
      <c r="G275" s="65">
        <f ca="1">'Landscape Trees '!H91</f>
        <v>70</v>
      </c>
      <c r="H275" s="51">
        <f>'Landscape Trees '!I91</f>
        <v>0</v>
      </c>
    </row>
    <row r="276" spans="1:8" ht="12.75" x14ac:dyDescent="0.2">
      <c r="A276" s="51" t="str">
        <f ca="1">'Landscape Trees '!A92</f>
        <v>Ginkgo biloba 'Autumn Gold'</v>
      </c>
      <c r="B276" s="51" t="str">
        <f ca="1">'Landscape Trees '!C92</f>
        <v>Autumn Gold Ginkgo</v>
      </c>
      <c r="C276" s="51" t="str">
        <f ca="1">'Landscape Trees '!D92</f>
        <v>#15</v>
      </c>
      <c r="D276" s="51" t="str">
        <f ca="1">'Landscape Trees '!E92</f>
        <v>0.75-1.25"</v>
      </c>
      <c r="E276" s="51" t="str">
        <f ca="1">'Landscape Trees '!F92</f>
        <v>7.5-9.5'</v>
      </c>
      <c r="F276" s="64">
        <f ca="1">'Landscape Trees '!G92</f>
        <v>7</v>
      </c>
      <c r="G276" s="65">
        <f ca="1">'Landscape Trees '!H92</f>
        <v>135</v>
      </c>
      <c r="H276" s="51">
        <f>'Landscape Trees '!I92</f>
        <v>0</v>
      </c>
    </row>
    <row r="277" spans="1:8" ht="12.75" x14ac:dyDescent="0.2">
      <c r="A277" s="51" t="str">
        <f ca="1">'Landscape Trees '!A93</f>
        <v>Ginkgo biloba 'Magyar'</v>
      </c>
      <c r="B277" s="51" t="str">
        <f ca="1">'Landscape Trees '!C93</f>
        <v>Magyar Ginkgo</v>
      </c>
      <c r="C277" s="51" t="str">
        <f ca="1">'Landscape Trees '!D93</f>
        <v>#5</v>
      </c>
      <c r="D277" s="51" t="str">
        <f ca="1">'Landscape Trees '!E93</f>
        <v>0.75-1"</v>
      </c>
      <c r="E277" s="51" t="str">
        <f ca="1">'Landscape Trees '!F93</f>
        <v>6-7'</v>
      </c>
      <c r="F277" s="64">
        <f ca="1">'Landscape Trees '!G93</f>
        <v>5</v>
      </c>
      <c r="G277" s="65">
        <f ca="1">'Landscape Trees '!H93</f>
        <v>70</v>
      </c>
      <c r="H277" s="51">
        <f>'Landscape Trees '!I93</f>
        <v>0</v>
      </c>
    </row>
    <row r="278" spans="1:8" ht="12.75" x14ac:dyDescent="0.2">
      <c r="A278" s="51" t="str">
        <f ca="1">'Landscape Trees '!A94</f>
        <v>Ginkgo biloba 'Magyar'</v>
      </c>
      <c r="B278" s="51" t="str">
        <f ca="1">'Landscape Trees '!C94</f>
        <v>Magyar Ginkgo</v>
      </c>
      <c r="C278" s="51" t="str">
        <f ca="1">'Landscape Trees '!D94</f>
        <v>#7</v>
      </c>
      <c r="D278" s="51" t="str">
        <f ca="1">'Landscape Trees '!E94</f>
        <v>1-1.25"</v>
      </c>
      <c r="E278" s="51" t="str">
        <f ca="1">'Landscape Trees '!F94</f>
        <v>7-8'</v>
      </c>
      <c r="F278" s="64">
        <f ca="1">'Landscape Trees '!G94</f>
        <v>3</v>
      </c>
      <c r="G278" s="65">
        <f ca="1">'Landscape Trees '!H94</f>
        <v>70</v>
      </c>
      <c r="H278" s="51">
        <f>'Landscape Trees '!I94</f>
        <v>0</v>
      </c>
    </row>
    <row r="279" spans="1:8" ht="12.75" x14ac:dyDescent="0.2">
      <c r="A279" s="51" t="str">
        <f ca="1">'Landscape Trees '!A95</f>
        <v>Ginkgo biloba 'Magyar'</v>
      </c>
      <c r="B279" s="51" t="str">
        <f ca="1">'Landscape Trees '!C95</f>
        <v>Magyar Ginkgo</v>
      </c>
      <c r="C279" s="51" t="str">
        <f ca="1">'Landscape Trees '!D95</f>
        <v>#15</v>
      </c>
      <c r="D279" s="51" t="str">
        <f ca="1">'Landscape Trees '!E95</f>
        <v>1.25-1.5"</v>
      </c>
      <c r="E279" s="51" t="str">
        <f ca="1">'Landscape Trees '!F95</f>
        <v>7-10.5'</v>
      </c>
      <c r="F279" s="64">
        <f ca="1">'Landscape Trees '!G95</f>
        <v>7</v>
      </c>
      <c r="G279" s="65">
        <f ca="1">'Landscape Trees '!H95</f>
        <v>135</v>
      </c>
      <c r="H279" s="51">
        <f>'Landscape Trees '!I95</f>
        <v>0</v>
      </c>
    </row>
    <row r="280" spans="1:8" ht="12.75" x14ac:dyDescent="0.2">
      <c r="A280" s="51" t="str">
        <f ca="1">'Landscape Trees '!A96</f>
        <v>Ginkgo biloba 'Princeton Sentry'</v>
      </c>
      <c r="B280" s="51" t="str">
        <f ca="1">'Landscape Trees '!C96</f>
        <v>Princeton Sentry Ginkgo</v>
      </c>
      <c r="C280" s="51" t="str">
        <f ca="1">'Landscape Trees '!D96</f>
        <v>#7</v>
      </c>
      <c r="D280" s="51" t="str">
        <f ca="1">'Landscape Trees '!E96</f>
        <v>0.5-0.75"</v>
      </c>
      <c r="E280" s="51" t="str">
        <f ca="1">'Landscape Trees '!F96</f>
        <v>5-5.5'</v>
      </c>
      <c r="F280" s="64">
        <f ca="1">'Landscape Trees '!G96</f>
        <v>4</v>
      </c>
      <c r="G280" s="65">
        <f ca="1">'Landscape Trees '!H96</f>
        <v>70</v>
      </c>
      <c r="H280" s="51">
        <f>'Landscape Trees '!I96</f>
        <v>0</v>
      </c>
    </row>
    <row r="281" spans="1:8" ht="12.75" x14ac:dyDescent="0.2">
      <c r="A281" s="51" t="str">
        <f ca="1">'Landscape Trees '!A97</f>
        <v>Ginkgo biloba 'Princeton Sentry'</v>
      </c>
      <c r="B281" s="51" t="str">
        <f ca="1">'Landscape Trees '!C97</f>
        <v>Princeton Sentry Ginkgo</v>
      </c>
      <c r="C281" s="51" t="str">
        <f ca="1">'Landscape Trees '!D97</f>
        <v>#10</v>
      </c>
      <c r="D281" s="51" t="str">
        <f ca="1">'Landscape Trees '!E97</f>
        <v>1-1.25"</v>
      </c>
      <c r="E281" s="51" t="str">
        <f ca="1">'Landscape Trees '!F97</f>
        <v>5.5-6.5'</v>
      </c>
      <c r="F281" s="64">
        <f ca="1">'Landscape Trees '!G97</f>
        <v>3</v>
      </c>
      <c r="G281" s="65">
        <f ca="1">'Landscape Trees '!H97</f>
        <v>100</v>
      </c>
      <c r="H281" s="51">
        <f>'Landscape Trees '!I97</f>
        <v>0</v>
      </c>
    </row>
    <row r="282" spans="1:8" ht="12.75" x14ac:dyDescent="0.2">
      <c r="A282" s="51" t="str">
        <f ca="1">'Landscape Trees '!A98</f>
        <v>Ginkgo biloba 'Princeton Sentry'</v>
      </c>
      <c r="B282" s="51" t="str">
        <f ca="1">'Landscape Trees '!C98</f>
        <v xml:space="preserve">Princeton Sentry Ginkgo </v>
      </c>
      <c r="C282" s="51" t="str">
        <f ca="1">'Landscape Trees '!D98</f>
        <v>#15</v>
      </c>
      <c r="D282" s="51" t="str">
        <f ca="1">'Landscape Trees '!E98</f>
        <v>1-1.25"</v>
      </c>
      <c r="E282" s="51" t="str">
        <f ca="1">'Landscape Trees '!F98</f>
        <v>7-10'</v>
      </c>
      <c r="F282" s="64">
        <f ca="1">'Landscape Trees '!G98</f>
        <v>8</v>
      </c>
      <c r="G282" s="65">
        <f ca="1">'Landscape Trees '!H98</f>
        <v>135</v>
      </c>
      <c r="H282" s="51">
        <f>'Landscape Trees '!I98</f>
        <v>0</v>
      </c>
    </row>
    <row r="283" spans="1:8" ht="12.75" x14ac:dyDescent="0.2">
      <c r="A283" s="51" t="str">
        <f ca="1">'Landscape Trees '!A99</f>
        <v>Ginkgo biloba 'Windover Gold'</v>
      </c>
      <c r="B283" s="51" t="str">
        <f ca="1">'Landscape Trees '!C99</f>
        <v>Windover Gold Ginkgo</v>
      </c>
      <c r="C283" s="51" t="str">
        <f ca="1">'Landscape Trees '!D99</f>
        <v>#15</v>
      </c>
      <c r="D283" s="51" t="str">
        <f ca="1">'Landscape Trees '!E99</f>
        <v>1.25-1.5"</v>
      </c>
      <c r="E283" s="51" t="str">
        <f ca="1">'Landscape Trees '!F99</f>
        <v>7-9'</v>
      </c>
      <c r="F283" s="64">
        <f ca="1">'Landscape Trees '!G99</f>
        <v>2</v>
      </c>
      <c r="G283" s="65">
        <f ca="1">'Landscape Trees '!H99</f>
        <v>135</v>
      </c>
      <c r="H283" s="51">
        <f>'Landscape Trees '!I99</f>
        <v>0</v>
      </c>
    </row>
    <row r="284" spans="1:8" ht="12.75" x14ac:dyDescent="0.2">
      <c r="A284" s="51" t="str">
        <f ca="1">'Landscape Trees '!A100</f>
        <v>Gleditsia triacanthos 'Shademaster'</v>
      </c>
      <c r="B284" s="51" t="str">
        <f ca="1">'Landscape Trees '!C100</f>
        <v>Shademaster Honeylocust</v>
      </c>
      <c r="C284" s="51" t="str">
        <f ca="1">'Landscape Trees '!D100</f>
        <v>#15</v>
      </c>
      <c r="D284" s="51" t="str">
        <f ca="1">'Landscape Trees '!E100</f>
        <v>0.5-1.5"</v>
      </c>
      <c r="E284" s="51" t="str">
        <f ca="1">'Landscape Trees '!F100</f>
        <v>7-12'</v>
      </c>
      <c r="F284" s="64">
        <f ca="1">'Landscape Trees '!G100</f>
        <v>24</v>
      </c>
      <c r="G284" s="65">
        <f ca="1">'Landscape Trees '!H100</f>
        <v>135</v>
      </c>
      <c r="H284" s="51">
        <f>'Landscape Trees '!I100</f>
        <v>0</v>
      </c>
    </row>
    <row r="285" spans="1:8" ht="12.75" x14ac:dyDescent="0.2">
      <c r="A285" s="51" t="str">
        <f ca="1">'Landscape Trees '!A101</f>
        <v>Gleditsia triacanthos 'Skyline'</v>
      </c>
      <c r="B285" s="51" t="str">
        <f ca="1">'Landscape Trees '!C101</f>
        <v>Skyline Honeylocust</v>
      </c>
      <c r="C285" s="51" t="str">
        <f ca="1">'Landscape Trees '!D101</f>
        <v>#15</v>
      </c>
      <c r="D285" s="51" t="str">
        <f ca="1">'Landscape Trees '!E101</f>
        <v>0.75-1.75"</v>
      </c>
      <c r="E285" s="51" t="str">
        <f ca="1">'Landscape Trees '!F101</f>
        <v>8-13'</v>
      </c>
      <c r="F285" s="64">
        <f ca="1">'Landscape Trees '!G101</f>
        <v>31</v>
      </c>
      <c r="G285" s="65">
        <f ca="1">'Landscape Trees '!H101</f>
        <v>135</v>
      </c>
      <c r="H285" s="51">
        <f>'Landscape Trees '!I101</f>
        <v>0</v>
      </c>
    </row>
    <row r="286" spans="1:8" ht="12.75" x14ac:dyDescent="0.2">
      <c r="A286" s="51" t="str">
        <f ca="1">'Landscape Trees '!A102</f>
        <v>Gymnocladus dioicus</v>
      </c>
      <c r="B286" s="51" t="str">
        <f ca="1">'Landscape Trees '!C102</f>
        <v>Kentucky Coffeetree</v>
      </c>
      <c r="C286" s="51" t="str">
        <f ca="1">'Landscape Trees '!D102</f>
        <v>#5</v>
      </c>
      <c r="D286" s="51" t="str">
        <f ca="1">'Landscape Trees '!E102</f>
        <v>0.5-1.25"</v>
      </c>
      <c r="E286" s="51" t="str">
        <f ca="1">'Landscape Trees '!F102</f>
        <v>3-7'</v>
      </c>
      <c r="F286" s="64">
        <f ca="1">'Landscape Trees '!G102</f>
        <v>42</v>
      </c>
      <c r="G286" s="65">
        <f ca="1">'Landscape Trees '!H102</f>
        <v>40</v>
      </c>
      <c r="H286" s="51">
        <f>'Landscape Trees '!I102</f>
        <v>0</v>
      </c>
    </row>
    <row r="287" spans="1:8" ht="12.75" x14ac:dyDescent="0.2">
      <c r="A287" s="51" t="str">
        <f ca="1">'Landscape Trees '!A103</f>
        <v>Gymnocladus dioicus</v>
      </c>
      <c r="B287" s="51" t="str">
        <f ca="1">'Landscape Trees '!C103</f>
        <v>Kentucky Coffeetree</v>
      </c>
      <c r="C287" s="51" t="str">
        <f ca="1">'Landscape Trees '!D103</f>
        <v>#15</v>
      </c>
      <c r="D287" s="51" t="str">
        <f ca="1">'Landscape Trees '!E103</f>
        <v>1.25-1.75"</v>
      </c>
      <c r="E287" s="51" t="str">
        <f ca="1">'Landscape Trees '!F103</f>
        <v>9-14'</v>
      </c>
      <c r="F287" s="64">
        <f ca="1">'Landscape Trees '!G103</f>
        <v>15</v>
      </c>
      <c r="G287" s="65">
        <f ca="1">'Landscape Trees '!H103</f>
        <v>135</v>
      </c>
      <c r="H287" s="51">
        <f>'Landscape Trees '!I103</f>
        <v>0</v>
      </c>
    </row>
    <row r="288" spans="1:8" ht="12.75" x14ac:dyDescent="0.2">
      <c r="A288" s="51" t="str">
        <f ca="1">'Landscape Trees '!A104</f>
        <v xml:space="preserve">Gymnocladus dioicus </v>
      </c>
      <c r="B288" s="51" t="str">
        <f ca="1">'Landscape Trees '!C104</f>
        <v xml:space="preserve">Kentucky Coffeetree (Cultivar) </v>
      </c>
      <c r="C288" s="51" t="str">
        <f ca="1">'Landscape Trees '!D104</f>
        <v>#15</v>
      </c>
      <c r="D288" s="51" t="str">
        <f ca="1">'Landscape Trees '!E104</f>
        <v>1.25-2"</v>
      </c>
      <c r="E288" s="51" t="str">
        <f ca="1">'Landscape Trees '!F104</f>
        <v>6-16'</v>
      </c>
      <c r="F288" s="64">
        <f ca="1">'Landscape Trees '!G104</f>
        <v>10</v>
      </c>
      <c r="G288" s="65">
        <f ca="1">'Landscape Trees '!H104</f>
        <v>135</v>
      </c>
      <c r="H288" s="51">
        <f>'Landscape Trees '!I104</f>
        <v>0</v>
      </c>
    </row>
    <row r="289" spans="1:8" ht="12.75" x14ac:dyDescent="0.2">
      <c r="A289" s="51" t="str">
        <f ca="1">'Landscape Trees '!A105</f>
        <v xml:space="preserve">Gymnocladus dioicus </v>
      </c>
      <c r="B289" s="51" t="str">
        <f ca="1">'Landscape Trees '!C105</f>
        <v xml:space="preserve">Kentucky Coffeetree (Cultivar) </v>
      </c>
      <c r="C289" s="51" t="str">
        <f ca="1">'Landscape Trees '!D105</f>
        <v>#25</v>
      </c>
      <c r="D289" s="51" t="str">
        <f ca="1">'Landscape Trees '!E105</f>
        <v>1.75-2"</v>
      </c>
      <c r="E289" s="51" t="str">
        <f ca="1">'Landscape Trees '!F105</f>
        <v>14-16'</v>
      </c>
      <c r="F289" s="64">
        <f ca="1">'Landscape Trees '!G105</f>
        <v>2</v>
      </c>
      <c r="G289" s="65">
        <f ca="1">'Landscape Trees '!H105</f>
        <v>150</v>
      </c>
      <c r="H289" s="51">
        <f>'Landscape Trees '!I105</f>
        <v>0</v>
      </c>
    </row>
    <row r="290" spans="1:8" ht="12.75" x14ac:dyDescent="0.2">
      <c r="A290" s="51" t="str">
        <f ca="1">'Landscape Trees '!A106</f>
        <v>Halesia carolina</v>
      </c>
      <c r="B290" s="51" t="str">
        <f ca="1">'Landscape Trees '!C106</f>
        <v>Carolina Silverbell</v>
      </c>
      <c r="C290" s="51" t="str">
        <f ca="1">'Landscape Trees '!D106</f>
        <v>#5</v>
      </c>
      <c r="D290" s="51" t="str">
        <f ca="1">'Landscape Trees '!E106</f>
        <v>0.25-1"</v>
      </c>
      <c r="E290" s="51" t="str">
        <f ca="1">'Landscape Trees '!F106</f>
        <v>3-9'</v>
      </c>
      <c r="F290" s="64">
        <f ca="1">'Landscape Trees '!G106</f>
        <v>2</v>
      </c>
      <c r="G290" s="65">
        <f ca="1">'Landscape Trees '!H106</f>
        <v>50</v>
      </c>
      <c r="H290" s="51">
        <f>'Landscape Trees '!I106</f>
        <v>0</v>
      </c>
    </row>
    <row r="291" spans="1:8" ht="12.75" x14ac:dyDescent="0.2">
      <c r="A291" s="51" t="str">
        <f ca="1">'Landscape Trees '!A107</f>
        <v>Hamamelis virginiana</v>
      </c>
      <c r="B291" s="51" t="str">
        <f ca="1">'Landscape Trees '!C107</f>
        <v>Witch Hazel</v>
      </c>
      <c r="C291" s="51" t="str">
        <f ca="1">'Landscape Trees '!D107</f>
        <v>#5</v>
      </c>
      <c r="D291" s="51" t="str">
        <f ca="1">'Landscape Trees '!E107</f>
        <v>Multi</v>
      </c>
      <c r="E291" s="51" t="str">
        <f ca="1">'Landscape Trees '!F107</f>
        <v>3-4.5'</v>
      </c>
      <c r="F291" s="64">
        <f ca="1">'Landscape Trees '!G107</f>
        <v>29</v>
      </c>
      <c r="G291" s="65">
        <f ca="1">'Landscape Trees '!H107</f>
        <v>50</v>
      </c>
      <c r="H291" s="51">
        <f>'Landscape Trees '!I107</f>
        <v>0</v>
      </c>
    </row>
    <row r="292" spans="1:8" ht="12.75" x14ac:dyDescent="0.2">
      <c r="A292" s="51" t="str">
        <f ca="1">'Landscape Trees '!A108</f>
        <v>Hamamelis x 'Diane'</v>
      </c>
      <c r="B292" s="51" t="str">
        <f ca="1">'Landscape Trees '!C108</f>
        <v>Diane Witch Hazel</v>
      </c>
      <c r="C292" s="51" t="str">
        <f ca="1">'Landscape Trees '!D108</f>
        <v>#5</v>
      </c>
      <c r="D292" s="51" t="str">
        <f ca="1">'Landscape Trees '!E108</f>
        <v>Multi</v>
      </c>
      <c r="E292" s="51" t="str">
        <f ca="1">'Landscape Trees '!F108</f>
        <v>2.5-3.5'</v>
      </c>
      <c r="F292" s="64">
        <f ca="1">'Landscape Trees '!G108</f>
        <v>5</v>
      </c>
      <c r="G292" s="65">
        <f ca="1">'Landscape Trees '!H108</f>
        <v>50</v>
      </c>
      <c r="H292" s="51">
        <f>'Landscape Trees '!I108</f>
        <v>0</v>
      </c>
    </row>
    <row r="293" spans="1:8" ht="12.75" x14ac:dyDescent="0.2">
      <c r="A293" s="51" t="str">
        <f ca="1">'Landscape Trees '!A109</f>
        <v>Hydrangea que. 'Ruby slippers'</v>
      </c>
      <c r="B293" s="51" t="str">
        <f ca="1">'Landscape Trees '!C109</f>
        <v>Ruby Slippers Oakleaf Hydrangea</v>
      </c>
      <c r="C293" s="51" t="str">
        <f ca="1">'Landscape Trees '!D109</f>
        <v>#5</v>
      </c>
      <c r="D293" s="51" t="str">
        <f ca="1">'Landscape Trees '!E109</f>
        <v>Multi</v>
      </c>
      <c r="E293" s="51" t="str">
        <f ca="1">'Landscape Trees '!F109</f>
        <v>1-2'</v>
      </c>
      <c r="F293" s="64">
        <f ca="1">'Landscape Trees '!G109</f>
        <v>40</v>
      </c>
      <c r="G293" s="65">
        <f ca="1">'Landscape Trees '!H109</f>
        <v>37</v>
      </c>
      <c r="H293" s="51">
        <f>'Landscape Trees '!I109</f>
        <v>0</v>
      </c>
    </row>
    <row r="294" spans="1:8" ht="12.75" x14ac:dyDescent="0.2">
      <c r="A294" s="51" t="str">
        <f ca="1">'Landscape Trees '!A110</f>
        <v>Hydrangea que. 'Snow Queen'</v>
      </c>
      <c r="B294" s="51" t="str">
        <f ca="1">'Landscape Trees '!C110</f>
        <v>Snow Queen Oakleaf Hydrangea</v>
      </c>
      <c r="C294" s="51" t="str">
        <f ca="1">'Landscape Trees '!D110</f>
        <v>#5</v>
      </c>
      <c r="D294" s="51" t="str">
        <f ca="1">'Landscape Trees '!E110</f>
        <v>Multi</v>
      </c>
      <c r="E294" s="51" t="str">
        <f ca="1">'Landscape Trees '!F110</f>
        <v>3-5'</v>
      </c>
      <c r="F294" s="64">
        <f ca="1">'Landscape Trees '!G110</f>
        <v>37</v>
      </c>
      <c r="G294" s="65">
        <f ca="1">'Landscape Trees '!H110</f>
        <v>37</v>
      </c>
      <c r="H294" s="51">
        <f>'Landscape Trees '!I110</f>
        <v>0</v>
      </c>
    </row>
    <row r="295" spans="1:8" ht="12.75" x14ac:dyDescent="0.2">
      <c r="A295" s="51" t="str">
        <f ca="1">'Landscape Trees '!A111</f>
        <v>Ilex glabra</v>
      </c>
      <c r="B295" s="51" t="str">
        <f ca="1">'Landscape Trees '!C111</f>
        <v>Inkberry</v>
      </c>
      <c r="C295" s="51" t="str">
        <f ca="1">'Landscape Trees '!D111</f>
        <v>#5</v>
      </c>
      <c r="D295" s="51" t="str">
        <f ca="1">'Landscape Trees '!E111</f>
        <v>Multi</v>
      </c>
      <c r="E295" s="51" t="str">
        <f ca="1">'Landscape Trees '!F111</f>
        <v>1-1.5'</v>
      </c>
      <c r="F295" s="64">
        <f ca="1">'Landscape Trees '!G111</f>
        <v>6</v>
      </c>
      <c r="G295" s="65">
        <f ca="1">'Landscape Trees '!H111</f>
        <v>37</v>
      </c>
      <c r="H295" s="51">
        <f>'Landscape Trees '!I111</f>
        <v>0</v>
      </c>
    </row>
    <row r="296" spans="1:8" ht="12.75" x14ac:dyDescent="0.2">
      <c r="A296" s="51" t="str">
        <f ca="1">'Landscape Trees '!A112</f>
        <v>Ilex verticillata 'Winter Red'</v>
      </c>
      <c r="B296" s="51" t="str">
        <f ca="1">'Landscape Trees '!C112</f>
        <v>Winter Red Winterberry Holly</v>
      </c>
      <c r="C296" s="51" t="str">
        <f ca="1">'Landscape Trees '!D112</f>
        <v>#5</v>
      </c>
      <c r="D296" s="51" t="str">
        <f ca="1">'Landscape Trees '!E112</f>
        <v>Multi</v>
      </c>
      <c r="E296" s="51" t="str">
        <f ca="1">'Landscape Trees '!F112</f>
        <v>2-4'</v>
      </c>
      <c r="F296" s="64">
        <f ca="1">'Landscape Trees '!G112</f>
        <v>119</v>
      </c>
      <c r="G296" s="65">
        <f ca="1">'Landscape Trees '!H112</f>
        <v>35</v>
      </c>
      <c r="H296" s="51">
        <f>'Landscape Trees '!I112</f>
        <v>0</v>
      </c>
    </row>
    <row r="297" spans="1:8" ht="12.75" x14ac:dyDescent="0.2">
      <c r="A297" s="51" t="str">
        <f ca="1">'Landscape Trees '!A113</f>
        <v>Juniper chinensis 'Spartan'</v>
      </c>
      <c r="B297" s="51" t="str">
        <f ca="1">'Landscape Trees '!C113</f>
        <v>Spartan Juniper</v>
      </c>
      <c r="C297" s="51" t="str">
        <f ca="1">'Landscape Trees '!D113</f>
        <v>#3</v>
      </c>
      <c r="D297" s="51" t="str">
        <f ca="1">'Landscape Trees '!E113</f>
        <v>0.75-1"</v>
      </c>
      <c r="E297" s="51" t="str">
        <f ca="1">'Landscape Trees '!F113</f>
        <v>4-4'</v>
      </c>
      <c r="F297" s="64">
        <f ca="1">'Landscape Trees '!G113</f>
        <v>5</v>
      </c>
      <c r="G297" s="65">
        <f ca="1">'Landscape Trees '!H113</f>
        <v>50</v>
      </c>
      <c r="H297" s="51">
        <f>'Landscape Trees '!I113</f>
        <v>0</v>
      </c>
    </row>
    <row r="298" spans="1:8" ht="12.75" x14ac:dyDescent="0.2">
      <c r="A298" s="51" t="str">
        <f ca="1">'Landscape Trees '!A114</f>
        <v>Lindera benzoin</v>
      </c>
      <c r="B298" s="51" t="str">
        <f ca="1">'Landscape Trees '!C114</f>
        <v>Spicebush</v>
      </c>
      <c r="C298" s="51" t="str">
        <f ca="1">'Landscape Trees '!D114</f>
        <v>#5</v>
      </c>
      <c r="D298" s="51" t="str">
        <f ca="1">'Landscape Trees '!E114</f>
        <v>0.25-0.5"</v>
      </c>
      <c r="E298" s="51" t="str">
        <f ca="1">'Landscape Trees '!F114</f>
        <v>2-3'</v>
      </c>
      <c r="F298" s="64">
        <f ca="1">'Landscape Trees '!G114</f>
        <v>99</v>
      </c>
      <c r="G298" s="65">
        <f ca="1">'Landscape Trees '!H114</f>
        <v>37</v>
      </c>
      <c r="H298" s="51">
        <f>'Landscape Trees '!I114</f>
        <v>0</v>
      </c>
    </row>
    <row r="299" spans="1:8" ht="12.75" x14ac:dyDescent="0.2">
      <c r="A299" s="51" t="str">
        <f ca="1">'Landscape Trees '!A115</f>
        <v>Liquidambar styraciflua</v>
      </c>
      <c r="B299" s="51" t="str">
        <f ca="1">'Landscape Trees '!C115</f>
        <v>Sweet Gum</v>
      </c>
      <c r="C299" s="51" t="str">
        <f ca="1">'Landscape Trees '!D115</f>
        <v>#5</v>
      </c>
      <c r="D299" s="51" t="str">
        <f ca="1">'Landscape Trees '!E115</f>
        <v>0.25-1.25"</v>
      </c>
      <c r="E299" s="51" t="str">
        <f ca="1">'Landscape Trees '!F115</f>
        <v>3-8'</v>
      </c>
      <c r="F299" s="64">
        <f ca="1">'Landscape Trees '!G115</f>
        <v>32</v>
      </c>
      <c r="G299" s="65">
        <f ca="1">'Landscape Trees '!H115</f>
        <v>50</v>
      </c>
      <c r="H299" s="51">
        <f>'Landscape Trees '!I115</f>
        <v>0</v>
      </c>
    </row>
    <row r="300" spans="1:8" ht="12.75" x14ac:dyDescent="0.2">
      <c r="A300" s="51" t="str">
        <f ca="1">'Landscape Trees '!A116</f>
        <v>Liquidambar styraciflua 'Hapdell' Happidaze</v>
      </c>
      <c r="B300" s="51" t="str">
        <f ca="1">'Landscape Trees '!C116</f>
        <v>Happidaze Sweetgum</v>
      </c>
      <c r="C300" s="51" t="str">
        <f ca="1">'Landscape Trees '!D116</f>
        <v>#10</v>
      </c>
      <c r="D300" s="51" t="str">
        <f ca="1">'Landscape Trees '!E116</f>
        <v>1-1.25"</v>
      </c>
      <c r="E300" s="51" t="str">
        <f ca="1">'Landscape Trees '!F116</f>
        <v>6-8'</v>
      </c>
      <c r="F300" s="64">
        <f ca="1">'Landscape Trees '!G116</f>
        <v>1</v>
      </c>
      <c r="G300" s="65">
        <f ca="1">'Landscape Trees '!H116</f>
        <v>100</v>
      </c>
      <c r="H300" s="51">
        <f>'Landscape Trees '!I116</f>
        <v>0</v>
      </c>
    </row>
    <row r="301" spans="1:8" ht="12.75" x14ac:dyDescent="0.2">
      <c r="A301" s="51" t="str">
        <f ca="1">'Landscape Trees '!A117</f>
        <v>Liquidambar styraciflua 'Silver King'</v>
      </c>
      <c r="B301" s="51" t="str">
        <f ca="1">'Landscape Trees '!C117</f>
        <v>Silver King Sweet Gum</v>
      </c>
      <c r="C301" s="51" t="str">
        <f ca="1">'Landscape Trees '!D117</f>
        <v>#10</v>
      </c>
      <c r="D301" s="51" t="str">
        <f ca="1">'Landscape Trees '!E117</f>
        <v>1.25-1.25"</v>
      </c>
      <c r="E301" s="51" t="str">
        <f ca="1">'Landscape Trees '!F117</f>
        <v>7-9'</v>
      </c>
      <c r="F301" s="64">
        <f ca="1">'Landscape Trees '!G117</f>
        <v>7</v>
      </c>
      <c r="G301" s="65">
        <f ca="1">'Landscape Trees '!H117</f>
        <v>100</v>
      </c>
      <c r="H301" s="51">
        <f>'Landscape Trees '!I117</f>
        <v>0</v>
      </c>
    </row>
    <row r="302" spans="1:8" ht="12.75" x14ac:dyDescent="0.2">
      <c r="A302" s="51" t="str">
        <f ca="1">'Landscape Trees '!A118</f>
        <v>Liquidambar styraciflua 'Worplesdon'</v>
      </c>
      <c r="B302" s="51" t="str">
        <f ca="1">'Landscape Trees '!C118</f>
        <v>Worplesdon Sweetgum</v>
      </c>
      <c r="C302" s="51" t="str">
        <f ca="1">'Landscape Trees '!D118</f>
        <v>#15</v>
      </c>
      <c r="D302" s="51" t="str">
        <f ca="1">'Landscape Trees '!E118</f>
        <v>1.25-1.25"</v>
      </c>
      <c r="E302" s="51" t="str">
        <f ca="1">'Landscape Trees '!F118</f>
        <v>7-8'</v>
      </c>
      <c r="F302" s="64">
        <f ca="1">'Landscape Trees '!G118</f>
        <v>10</v>
      </c>
      <c r="G302" s="65">
        <f ca="1">'Landscape Trees '!H118</f>
        <v>135</v>
      </c>
      <c r="H302" s="51">
        <f>'Landscape Trees '!I118</f>
        <v>0</v>
      </c>
    </row>
    <row r="303" spans="1:8" ht="12.75" x14ac:dyDescent="0.2">
      <c r="A303" s="51" t="str">
        <f ca="1">'Landscape Trees '!A119</f>
        <v>Liriodendron tulipifera</v>
      </c>
      <c r="B303" s="51" t="str">
        <f ca="1">'Landscape Trees '!C119</f>
        <v>Tulip Poplar</v>
      </c>
      <c r="C303" s="51" t="str">
        <f ca="1">'Landscape Trees '!D119</f>
        <v>#5</v>
      </c>
      <c r="D303" s="51" t="str">
        <f ca="1">'Landscape Trees '!E119</f>
        <v>0.5-1.5"</v>
      </c>
      <c r="E303" s="51" t="str">
        <f ca="1">'Landscape Trees '!F119</f>
        <v>5-13'</v>
      </c>
      <c r="F303" s="64">
        <f ca="1">'Landscape Trees '!G119</f>
        <v>209</v>
      </c>
      <c r="G303" s="65">
        <f ca="1">'Landscape Trees '!H119</f>
        <v>50</v>
      </c>
      <c r="H303" s="51">
        <f>'Landscape Trees '!I119</f>
        <v>0</v>
      </c>
    </row>
    <row r="304" spans="1:8" ht="12.75" x14ac:dyDescent="0.2">
      <c r="A304" s="51" t="str">
        <f ca="1">'Landscape Trees '!A120</f>
        <v>Magnolia 'Black Tulip'</v>
      </c>
      <c r="B304" s="51" t="str">
        <f ca="1">'Landscape Trees '!C120</f>
        <v>Black Tulip Magnolia</v>
      </c>
      <c r="C304" s="51" t="str">
        <f ca="1">'Landscape Trees '!D120</f>
        <v>#5</v>
      </c>
      <c r="D304" s="51" t="str">
        <f ca="1">'Landscape Trees '!E120</f>
        <v>Multi</v>
      </c>
      <c r="E304" s="51" t="str">
        <f ca="1">'Landscape Trees '!F120</f>
        <v>3-3.5'</v>
      </c>
      <c r="F304" s="64">
        <f ca="1">'Landscape Trees '!G120</f>
        <v>3</v>
      </c>
      <c r="G304" s="65">
        <f ca="1">'Landscape Trees '!H120</f>
        <v>70</v>
      </c>
      <c r="H304" s="51">
        <f>'Landscape Trees '!I120</f>
        <v>0</v>
      </c>
    </row>
    <row r="305" spans="1:8" ht="12.75" x14ac:dyDescent="0.2">
      <c r="A305" s="51" t="str">
        <f ca="1">'Landscape Trees '!A121</f>
        <v>Magnolia 'Galaxy'</v>
      </c>
      <c r="B305" s="51" t="str">
        <f ca="1">'Landscape Trees '!C121</f>
        <v>Galaxy Magnolia</v>
      </c>
      <c r="C305" s="51" t="str">
        <f ca="1">'Landscape Trees '!D121</f>
        <v>#5</v>
      </c>
      <c r="D305" s="51" t="str">
        <f ca="1">'Landscape Trees '!E121</f>
        <v>0.5-0.75"</v>
      </c>
      <c r="E305" s="51" t="str">
        <f ca="1">'Landscape Trees '!F121</f>
        <v>4-5.5'</v>
      </c>
      <c r="F305" s="64">
        <f ca="1">'Landscape Trees '!G121</f>
        <v>17</v>
      </c>
      <c r="G305" s="65">
        <f ca="1">'Landscape Trees '!H121</f>
        <v>70</v>
      </c>
      <c r="H305" s="51">
        <f>'Landscape Trees '!I121</f>
        <v>0</v>
      </c>
    </row>
    <row r="306" spans="1:8" ht="12.75" x14ac:dyDescent="0.2">
      <c r="A306" s="51" t="str">
        <f ca="1">'Landscape Trees '!A122</f>
        <v>Magnolia 'Yellow Bird'</v>
      </c>
      <c r="B306" s="51" t="str">
        <f ca="1">'Landscape Trees '!C122</f>
        <v>Yellow Bird Magnolia</v>
      </c>
      <c r="C306" s="51" t="str">
        <f ca="1">'Landscape Trees '!D122</f>
        <v>#5</v>
      </c>
      <c r="D306" s="51" t="str">
        <f ca="1">'Landscape Trees '!E122</f>
        <v>Multi</v>
      </c>
      <c r="E306" s="51" t="str">
        <f ca="1">'Landscape Trees '!F122</f>
        <v>3-6'</v>
      </c>
      <c r="F306" s="64">
        <f ca="1">'Landscape Trees '!G122</f>
        <v>63</v>
      </c>
      <c r="G306" s="65">
        <f ca="1">'Landscape Trees '!H122</f>
        <v>70</v>
      </c>
      <c r="H306" s="51">
        <f>'Landscape Trees '!I122</f>
        <v>0</v>
      </c>
    </row>
    <row r="307" spans="1:8" ht="12.75" x14ac:dyDescent="0.2">
      <c r="A307" s="51" t="str">
        <f ca="1">'Landscape Trees '!A123</f>
        <v>Magnolia ashei</v>
      </c>
      <c r="B307" s="51" t="str">
        <f ca="1">'Landscape Trees '!C123</f>
        <v>Ashe's Magnolia</v>
      </c>
      <c r="C307" s="51" t="str">
        <f ca="1">'Landscape Trees '!D123</f>
        <v>#5</v>
      </c>
      <c r="D307" s="51" t="str">
        <f ca="1">'Landscape Trees '!E123</f>
        <v>0.5-0.5"</v>
      </c>
      <c r="E307" s="51" t="str">
        <f ca="1">'Landscape Trees '!F123</f>
        <v>2-6'</v>
      </c>
      <c r="F307" s="64">
        <f ca="1">'Landscape Trees '!G123</f>
        <v>25</v>
      </c>
      <c r="G307" s="65">
        <f ca="1">'Landscape Trees '!H123</f>
        <v>50</v>
      </c>
      <c r="H307" s="51">
        <f>'Landscape Trees '!I123</f>
        <v>0</v>
      </c>
    </row>
    <row r="308" spans="1:8" ht="12.75" x14ac:dyDescent="0.2">
      <c r="A308" s="51" t="str">
        <f ca="1">'Landscape Trees '!A124</f>
        <v>Magnolia gra. 'D.D. Blanchard'</v>
      </c>
      <c r="B308" s="51" t="str">
        <f ca="1">'Landscape Trees '!C124</f>
        <v>DD Blanchard Magnolia</v>
      </c>
      <c r="C308" s="51" t="str">
        <f ca="1">'Landscape Trees '!D124</f>
        <v>#10</v>
      </c>
      <c r="D308" s="51" t="str">
        <f ca="1">'Landscape Trees '!E124</f>
        <v>Multi</v>
      </c>
      <c r="E308" s="51" t="str">
        <f ca="1">'Landscape Trees '!F124</f>
        <v>6-7'</v>
      </c>
      <c r="F308" s="64">
        <f ca="1">'Landscape Trees '!G124</f>
        <v>6</v>
      </c>
      <c r="G308" s="65">
        <f ca="1">'Landscape Trees '!H124</f>
        <v>120</v>
      </c>
      <c r="H308" s="51">
        <f>'Landscape Trees '!I124</f>
        <v>0</v>
      </c>
    </row>
    <row r="309" spans="1:8" ht="12.75" x14ac:dyDescent="0.2">
      <c r="A309" s="51" t="str">
        <f ca="1">'Landscape Trees '!A125</f>
        <v>Magnolia macrophylla</v>
      </c>
      <c r="B309" s="51" t="str">
        <f ca="1">'Landscape Trees '!C125</f>
        <v>Bigleaf Magnolia</v>
      </c>
      <c r="C309" s="51" t="str">
        <f ca="1">'Landscape Trees '!D125</f>
        <v>#5</v>
      </c>
      <c r="D309" s="51" t="str">
        <f ca="1">'Landscape Trees '!E125</f>
        <v>0.25-0.5"</v>
      </c>
      <c r="E309" s="51" t="str">
        <f ca="1">'Landscape Trees '!F125</f>
        <v>3-3.5'</v>
      </c>
      <c r="F309" s="64">
        <f ca="1">'Landscape Trees '!G125</f>
        <v>3</v>
      </c>
      <c r="G309" s="65">
        <f ca="1">'Landscape Trees '!H125</f>
        <v>70</v>
      </c>
      <c r="H309" s="51">
        <f>'Landscape Trees '!I125</f>
        <v>0</v>
      </c>
    </row>
    <row r="310" spans="1:8" ht="12.75" x14ac:dyDescent="0.2">
      <c r="A310" s="51" t="str">
        <f ca="1">'Landscape Trees '!A126</f>
        <v>Magnolia tripetala</v>
      </c>
      <c r="B310" s="51" t="str">
        <f ca="1">'Landscape Trees '!C126</f>
        <v>Umbrella Magnolia</v>
      </c>
      <c r="C310" s="51" t="str">
        <f ca="1">'Landscape Trees '!D126</f>
        <v>#5</v>
      </c>
      <c r="D310" s="51" t="str">
        <f ca="1">'Landscape Trees '!E126</f>
        <v>0.25-0.25"</v>
      </c>
      <c r="E310" s="51" t="str">
        <f ca="1">'Landscape Trees '!F126</f>
        <v>3-5'</v>
      </c>
      <c r="F310" s="64">
        <f ca="1">'Landscape Trees '!G126</f>
        <v>6</v>
      </c>
      <c r="G310" s="65">
        <f ca="1">'Landscape Trees '!H126</f>
        <v>70</v>
      </c>
      <c r="H310" s="51">
        <f>'Landscape Trees '!I126</f>
        <v>0</v>
      </c>
    </row>
    <row r="311" spans="1:8" ht="12.75" x14ac:dyDescent="0.2">
      <c r="A311" s="51" t="str">
        <f ca="1">'Landscape Trees '!A127</f>
        <v>Magnolia virginiana</v>
      </c>
      <c r="B311" s="51" t="str">
        <f ca="1">'Landscape Trees '!C127</f>
        <v>Sweet Bay Magnolia</v>
      </c>
      <c r="C311" s="51" t="str">
        <f ca="1">'Landscape Trees '!D127</f>
        <v>#5</v>
      </c>
      <c r="D311" s="51" t="str">
        <f ca="1">'Landscape Trees '!E127</f>
        <v>Multi</v>
      </c>
      <c r="E311" s="51" t="str">
        <f ca="1">'Landscape Trees '!F127</f>
        <v>3-6'</v>
      </c>
      <c r="F311" s="64">
        <f ca="1">'Landscape Trees '!G127</f>
        <v>2</v>
      </c>
      <c r="G311" s="65">
        <f ca="1">'Landscape Trees '!H127</f>
        <v>50</v>
      </c>
      <c r="H311" s="51">
        <f>'Landscape Trees '!I127</f>
        <v>0</v>
      </c>
    </row>
    <row r="312" spans="1:8" ht="12.75" x14ac:dyDescent="0.2">
      <c r="A312" s="51" t="str">
        <f ca="1">'Landscape Trees '!A128</f>
        <v>Magnolia virginiana 'Moonglow'</v>
      </c>
      <c r="B312" s="51" t="str">
        <f ca="1">'Landscape Trees '!C128</f>
        <v>Moonglow Magnolia</v>
      </c>
      <c r="C312" s="51" t="str">
        <f ca="1">'Landscape Trees '!D128</f>
        <v>#5</v>
      </c>
      <c r="D312" s="51" t="str">
        <f ca="1">'Landscape Trees '!E128</f>
        <v>0.5-1"</v>
      </c>
      <c r="E312" s="51" t="str">
        <f ca="1">'Landscape Trees '!F128</f>
        <v>3-7'</v>
      </c>
      <c r="F312" s="64">
        <f ca="1">'Landscape Trees '!G128</f>
        <v>29</v>
      </c>
      <c r="G312" s="65">
        <f ca="1">'Landscape Trees '!H128</f>
        <v>50</v>
      </c>
      <c r="H312" s="51">
        <f>'Landscape Trees '!I128</f>
        <v>0</v>
      </c>
    </row>
    <row r="313" spans="1:8" ht="12.75" x14ac:dyDescent="0.2">
      <c r="A313" s="51" t="str">
        <f ca="1">'Landscape Trees '!A129</f>
        <v>Magnolia x 'Ann'</v>
      </c>
      <c r="B313" s="51" t="str">
        <f ca="1">'Landscape Trees '!C129</f>
        <v>Ann Magnolia</v>
      </c>
      <c r="C313" s="51" t="str">
        <f ca="1">'Landscape Trees '!D129</f>
        <v>#5</v>
      </c>
      <c r="D313" s="51" t="str">
        <f ca="1">'Landscape Trees '!E129</f>
        <v>Multi</v>
      </c>
      <c r="E313" s="51" t="str">
        <f ca="1">'Landscape Trees '!F129</f>
        <v>5-7'</v>
      </c>
      <c r="F313" s="64">
        <f ca="1">'Landscape Trees '!G129</f>
        <v>2</v>
      </c>
      <c r="G313" s="65">
        <f ca="1">'Landscape Trees '!H129</f>
        <v>70</v>
      </c>
      <c r="H313" s="51">
        <f>'Landscape Trees '!I129</f>
        <v>0</v>
      </c>
    </row>
    <row r="314" spans="1:8" ht="12.75" x14ac:dyDescent="0.2">
      <c r="A314" s="51" t="str">
        <f ca="1">'Landscape Trees '!A130</f>
        <v>Magnolia x 'Jane'</v>
      </c>
      <c r="B314" s="51" t="str">
        <f ca="1">'Landscape Trees '!C130</f>
        <v>Jane Magnolia</v>
      </c>
      <c r="C314" s="51" t="str">
        <f ca="1">'Landscape Trees '!D130</f>
        <v>#5</v>
      </c>
      <c r="D314" s="51" t="str">
        <f ca="1">'Landscape Trees '!E130</f>
        <v>Multi</v>
      </c>
      <c r="E314" s="51" t="str">
        <f ca="1">'Landscape Trees '!F130</f>
        <v>4-5'</v>
      </c>
      <c r="F314" s="64">
        <f ca="1">'Landscape Trees '!G130</f>
        <v>6</v>
      </c>
      <c r="G314" s="65">
        <f ca="1">'Landscape Trees '!H130</f>
        <v>70</v>
      </c>
      <c r="H314" s="51">
        <f>'Landscape Trees '!I130</f>
        <v>0</v>
      </c>
    </row>
    <row r="315" spans="1:8" ht="12.75" x14ac:dyDescent="0.2">
      <c r="A315" s="51" t="str">
        <f ca="1">'Landscape Trees '!A131</f>
        <v>Malus 'Prairifire'</v>
      </c>
      <c r="B315" s="51" t="str">
        <f ca="1">'Landscape Trees '!C131</f>
        <v>Prairifire Crabapple</v>
      </c>
      <c r="C315" s="51" t="str">
        <f ca="1">'Landscape Trees '!D131</f>
        <v>#5</v>
      </c>
      <c r="D315" s="51" t="str">
        <f ca="1">'Landscape Trees '!E131</f>
        <v>0.5-1"</v>
      </c>
      <c r="E315" s="51" t="str">
        <f ca="1">'Landscape Trees '!F131</f>
        <v>5-7.5'</v>
      </c>
      <c r="F315" s="64">
        <f ca="1">'Landscape Trees '!G131</f>
        <v>9</v>
      </c>
      <c r="G315" s="65">
        <f ca="1">'Landscape Trees '!H131</f>
        <v>50</v>
      </c>
      <c r="H315" s="51">
        <f>'Landscape Trees '!I131</f>
        <v>0</v>
      </c>
    </row>
    <row r="316" spans="1:8" ht="12.75" x14ac:dyDescent="0.2">
      <c r="A316" s="51" t="str">
        <f ca="1">'Landscape Trees '!A132</f>
        <v>Malus 'Prairifire'</v>
      </c>
      <c r="B316" s="51" t="str">
        <f ca="1">'Landscape Trees '!C132</f>
        <v>Prairifire Crabapple</v>
      </c>
      <c r="C316" s="51" t="str">
        <f ca="1">'Landscape Trees '!D132</f>
        <v>#15</v>
      </c>
      <c r="D316" s="51" t="str">
        <f ca="1">'Landscape Trees '!E132</f>
        <v>0.75-1.25"</v>
      </c>
      <c r="E316" s="51" t="str">
        <f ca="1">'Landscape Trees '!F132</f>
        <v>8-10'</v>
      </c>
      <c r="F316" s="64">
        <f ca="1">'Landscape Trees '!G132</f>
        <v>21</v>
      </c>
      <c r="G316" s="65">
        <f ca="1">'Landscape Trees '!H132</f>
        <v>135</v>
      </c>
      <c r="H316" s="51">
        <f>'Landscape Trees '!I132</f>
        <v>0</v>
      </c>
    </row>
    <row r="317" spans="1:8" ht="12.75" x14ac:dyDescent="0.2">
      <c r="A317" s="51" t="str">
        <f ca="1">'Landscape Trees '!A133</f>
        <v>Malus 'Sugar Tyme'</v>
      </c>
      <c r="B317" s="51" t="str">
        <f ca="1">'Landscape Trees '!C133</f>
        <v>Sugar Tyme Crabapple</v>
      </c>
      <c r="C317" s="51" t="str">
        <f ca="1">'Landscape Trees '!D133</f>
        <v>#15</v>
      </c>
      <c r="D317" s="51" t="str">
        <f ca="1">'Landscape Trees '!E133</f>
        <v>1-1.75"</v>
      </c>
      <c r="E317" s="51" t="str">
        <f ca="1">'Landscape Trees '!F133</f>
        <v>8-10'</v>
      </c>
      <c r="F317" s="64">
        <f ca="1">'Landscape Trees '!G133</f>
        <v>26</v>
      </c>
      <c r="G317" s="65">
        <f ca="1">'Landscape Trees '!H133</f>
        <v>135</v>
      </c>
      <c r="H317" s="51">
        <f>'Landscape Trees '!I133</f>
        <v>0</v>
      </c>
    </row>
    <row r="318" spans="1:8" ht="12.75" x14ac:dyDescent="0.2">
      <c r="A318" s="51" t="str">
        <f ca="1">'Landscape Trees '!A134</f>
        <v>Malus dolgo</v>
      </c>
      <c r="B318" s="51" t="str">
        <f ca="1">'Landscape Trees '!C134</f>
        <v>Dolgo Crabapple</v>
      </c>
      <c r="C318" s="51" t="str">
        <f ca="1">'Landscape Trees '!D134</f>
        <v>#5</v>
      </c>
      <c r="D318" s="51" t="str">
        <f ca="1">'Landscape Trees '!E134</f>
        <v>0.5-1"</v>
      </c>
      <c r="E318" s="51" t="str">
        <f ca="1">'Landscape Trees '!F134</f>
        <v>4-9'</v>
      </c>
      <c r="F318" s="64">
        <f ca="1">'Landscape Trees '!G134</f>
        <v>21</v>
      </c>
      <c r="G318" s="65">
        <f ca="1">'Landscape Trees '!H134</f>
        <v>50</v>
      </c>
      <c r="H318" s="51">
        <f>'Landscape Trees '!I134</f>
        <v>0</v>
      </c>
    </row>
    <row r="319" spans="1:8" ht="12.75" x14ac:dyDescent="0.2">
      <c r="A319" s="51" t="str">
        <f ca="1">'Landscape Trees '!A135</f>
        <v>Metasequoia glyptostroboides</v>
      </c>
      <c r="B319" s="51" t="str">
        <f ca="1">'Landscape Trees '!C135</f>
        <v>Dawn Redwood</v>
      </c>
      <c r="C319" s="51" t="str">
        <f ca="1">'Landscape Trees '!D135</f>
        <v>#5</v>
      </c>
      <c r="D319" s="51" t="str">
        <f ca="1">'Landscape Trees '!E135</f>
        <v>0.25-1.25"</v>
      </c>
      <c r="E319" s="51" t="str">
        <f ca="1">'Landscape Trees '!F135</f>
        <v>3-9'</v>
      </c>
      <c r="F319" s="64">
        <f ca="1">'Landscape Trees '!G135</f>
        <v>222</v>
      </c>
      <c r="G319" s="65">
        <f ca="1">'Landscape Trees '!H135</f>
        <v>50</v>
      </c>
      <c r="H319" s="51">
        <f>'Landscape Trees '!I135</f>
        <v>0</v>
      </c>
    </row>
    <row r="320" spans="1:8" ht="12.75" x14ac:dyDescent="0.2">
      <c r="A320" s="51" t="str">
        <f ca="1">'Landscape Trees '!A136</f>
        <v>Metasequoia glyptostroboides</v>
      </c>
      <c r="B320" s="51" t="str">
        <f ca="1">'Landscape Trees '!C136</f>
        <v>Dawn Redwood</v>
      </c>
      <c r="C320" s="51" t="str">
        <f ca="1">'Landscape Trees '!D136</f>
        <v>#25</v>
      </c>
      <c r="D320" s="51" t="str">
        <f ca="1">'Landscape Trees '!E136</f>
        <v>1.75-2.25"</v>
      </c>
      <c r="E320" s="51" t="str">
        <f ca="1">'Landscape Trees '!F136</f>
        <v>9-12'</v>
      </c>
      <c r="F320" s="64">
        <f ca="1">'Landscape Trees '!G136</f>
        <v>6</v>
      </c>
      <c r="G320" s="65">
        <f ca="1">'Landscape Trees '!H136</f>
        <v>150</v>
      </c>
      <c r="H320" s="51">
        <f>'Landscape Trees '!I136</f>
        <v>0</v>
      </c>
    </row>
    <row r="321" spans="1:8" ht="12.75" x14ac:dyDescent="0.2">
      <c r="A321" s="51" t="str">
        <f ca="1">'Landscape Trees '!A137</f>
        <v>Myrica pennsylvanica</v>
      </c>
      <c r="B321" s="51" t="str">
        <f ca="1">'Landscape Trees '!C137</f>
        <v>Bayberry</v>
      </c>
      <c r="C321" s="51" t="str">
        <f ca="1">'Landscape Trees '!D137</f>
        <v>#5</v>
      </c>
      <c r="D321" s="51" t="str">
        <f ca="1">'Landscape Trees '!E137</f>
        <v>Multi</v>
      </c>
      <c r="E321" s="51" t="str">
        <f ca="1">'Landscape Trees '!F137</f>
        <v>2-5'</v>
      </c>
      <c r="F321" s="64">
        <f ca="1">'Landscape Trees '!G137</f>
        <v>24</v>
      </c>
      <c r="G321" s="65">
        <f ca="1">'Landscape Trees '!H137</f>
        <v>37</v>
      </c>
      <c r="H321" s="51">
        <f>'Landscape Trees '!I137</f>
        <v>0</v>
      </c>
    </row>
    <row r="322" spans="1:8" ht="12.75" x14ac:dyDescent="0.2">
      <c r="A322" s="51" t="str">
        <f ca="1">'Landscape Trees '!A138</f>
        <v>Nyssa sylvatica</v>
      </c>
      <c r="B322" s="51" t="str">
        <f ca="1">'Landscape Trees '!C138</f>
        <v>Black Gum</v>
      </c>
      <c r="C322" s="51" t="str">
        <f ca="1">'Landscape Trees '!D138</f>
        <v>#5</v>
      </c>
      <c r="D322" s="51" t="str">
        <f ca="1">'Landscape Trees '!E138</f>
        <v>0.25-1.25"</v>
      </c>
      <c r="E322" s="51" t="str">
        <f ca="1">'Landscape Trees '!F138</f>
        <v>4-7'</v>
      </c>
      <c r="F322" s="64">
        <f ca="1">'Landscape Trees '!G138</f>
        <v>196</v>
      </c>
      <c r="G322" s="65">
        <f ca="1">'Landscape Trees '!H138</f>
        <v>50</v>
      </c>
      <c r="H322" s="51">
        <f>'Landscape Trees '!I138</f>
        <v>0</v>
      </c>
    </row>
    <row r="323" spans="1:8" ht="12.75" x14ac:dyDescent="0.2">
      <c r="A323" s="51" t="str">
        <f ca="1">'Landscape Trees '!A139</f>
        <v>Ostrya virginiana</v>
      </c>
      <c r="B323" s="51" t="str">
        <f ca="1">'Landscape Trees '!C139</f>
        <v>American Hophornbeam</v>
      </c>
      <c r="C323" s="51" t="str">
        <f ca="1">'Landscape Trees '!D139</f>
        <v>#5</v>
      </c>
      <c r="D323" s="51" t="str">
        <f ca="1">'Landscape Trees '!E139</f>
        <v>0.25-1"</v>
      </c>
      <c r="E323" s="51" t="str">
        <f ca="1">'Landscape Trees '!F139</f>
        <v>3-11'</v>
      </c>
      <c r="F323" s="64">
        <f ca="1">'Landscape Trees '!G139</f>
        <v>313</v>
      </c>
      <c r="G323" s="65">
        <f ca="1">'Landscape Trees '!H139</f>
        <v>50</v>
      </c>
      <c r="H323" s="51">
        <f>'Landscape Trees '!I139</f>
        <v>0</v>
      </c>
    </row>
    <row r="324" spans="1:8" ht="12.75" x14ac:dyDescent="0.2">
      <c r="A324" s="51" t="str">
        <f ca="1">'Landscape Trees '!A140</f>
        <v>Ostrya virginiana</v>
      </c>
      <c r="B324" s="51" t="str">
        <f ca="1">'Landscape Trees '!C140</f>
        <v>American Hophornbeam</v>
      </c>
      <c r="C324" s="51" t="str">
        <f ca="1">'Landscape Trees '!D140</f>
        <v>#15</v>
      </c>
      <c r="D324" s="51" t="str">
        <f ca="1">'Landscape Trees '!E140</f>
        <v>1-1.5"</v>
      </c>
      <c r="E324" s="51" t="str">
        <f ca="1">'Landscape Trees '!F140</f>
        <v>9.5-11'</v>
      </c>
      <c r="F324" s="64">
        <f ca="1">'Landscape Trees '!G140</f>
        <v>4</v>
      </c>
      <c r="G324" s="65">
        <f ca="1">'Landscape Trees '!H140</f>
        <v>135</v>
      </c>
      <c r="H324" s="51">
        <f>'Landscape Trees '!I140</f>
        <v>0</v>
      </c>
    </row>
    <row r="325" spans="1:8" ht="12.75" x14ac:dyDescent="0.2">
      <c r="A325" s="51" t="str">
        <f ca="1">'Landscape Trees '!A141</f>
        <v>Oxydendrum arboreum</v>
      </c>
      <c r="B325" s="51" t="str">
        <f ca="1">'Landscape Trees '!C141</f>
        <v>Sourwood</v>
      </c>
      <c r="C325" s="51" t="str">
        <f ca="1">'Landscape Trees '!D141</f>
        <v>#5</v>
      </c>
      <c r="D325" s="51" t="str">
        <f ca="1">'Landscape Trees '!E141</f>
        <v>0.25-0.25"</v>
      </c>
      <c r="E325" s="51" t="str">
        <f ca="1">'Landscape Trees '!F141</f>
        <v>2-7'</v>
      </c>
      <c r="F325" s="64">
        <f ca="1">'Landscape Trees '!G141</f>
        <v>41</v>
      </c>
      <c r="G325" s="65">
        <f ca="1">'Landscape Trees '!H141</f>
        <v>50</v>
      </c>
      <c r="H325" s="51">
        <f>'Landscape Trees '!I141</f>
        <v>0</v>
      </c>
    </row>
    <row r="326" spans="1:8" ht="12.75" x14ac:dyDescent="0.2">
      <c r="A326" s="51" t="str">
        <f ca="1">'Landscape Trees '!A142</f>
        <v>Oxydendrum arboreum</v>
      </c>
      <c r="B326" s="51" t="str">
        <f ca="1">'Landscape Trees '!C142</f>
        <v>Sourwood</v>
      </c>
      <c r="C326" s="51" t="str">
        <f ca="1">'Landscape Trees '!D142</f>
        <v>#5</v>
      </c>
      <c r="D326" s="51" t="str">
        <f ca="1">'Landscape Trees '!E142</f>
        <v>Multi</v>
      </c>
      <c r="E326" s="51" t="str">
        <f ca="1">'Landscape Trees '!F142</f>
        <v>2-7'</v>
      </c>
      <c r="F326" s="64">
        <f ca="1">'Landscape Trees '!G142</f>
        <v>21</v>
      </c>
      <c r="G326" s="65">
        <f ca="1">'Landscape Trees '!H142</f>
        <v>50</v>
      </c>
      <c r="H326" s="51">
        <f>'Landscape Trees '!I142</f>
        <v>0</v>
      </c>
    </row>
    <row r="327" spans="1:8" ht="12.75" x14ac:dyDescent="0.2">
      <c r="A327" s="51" t="str">
        <f ca="1">'Landscape Trees '!A143</f>
        <v>Parrotia persica</v>
      </c>
      <c r="B327" s="51" t="str">
        <f ca="1">'Landscape Trees '!C143</f>
        <v>Persian Parrotia</v>
      </c>
      <c r="C327" s="51" t="str">
        <f ca="1">'Landscape Trees '!D143</f>
        <v>#5</v>
      </c>
      <c r="D327" s="51" t="str">
        <f ca="1">'Landscape Trees '!E143</f>
        <v>0.75-1.25"</v>
      </c>
      <c r="E327" s="51" t="str">
        <f ca="1">'Landscape Trees '!F143</f>
        <v>3-6'</v>
      </c>
      <c r="F327" s="64">
        <f ca="1">'Landscape Trees '!G143</f>
        <v>25</v>
      </c>
      <c r="G327" s="65">
        <f ca="1">'Landscape Trees '!H143</f>
        <v>50</v>
      </c>
      <c r="H327" s="51">
        <f>'Landscape Trees '!I143</f>
        <v>0</v>
      </c>
    </row>
    <row r="328" spans="1:8" ht="12.75" x14ac:dyDescent="0.2">
      <c r="A328" s="51" t="str">
        <f ca="1">'Landscape Trees '!A144</f>
        <v>Picea abies</v>
      </c>
      <c r="B328" s="51" t="str">
        <f ca="1">'Landscape Trees '!C144</f>
        <v>Norway Spruce</v>
      </c>
      <c r="C328" s="51" t="str">
        <f ca="1">'Landscape Trees '!D144</f>
        <v>#5</v>
      </c>
      <c r="D328" s="51" t="str">
        <f ca="1">'Landscape Trees '!E144</f>
        <v>1-1.25"</v>
      </c>
      <c r="E328" s="51" t="str">
        <f ca="1">'Landscape Trees '!F144</f>
        <v>2.5-4'</v>
      </c>
      <c r="F328" s="64">
        <f ca="1">'Landscape Trees '!G144</f>
        <v>31</v>
      </c>
      <c r="G328" s="65">
        <f ca="1">'Landscape Trees '!H144</f>
        <v>50</v>
      </c>
      <c r="H328" s="51">
        <f>'Landscape Trees '!I144</f>
        <v>0</v>
      </c>
    </row>
    <row r="329" spans="1:8" ht="12.75" x14ac:dyDescent="0.2">
      <c r="A329" s="51" t="str">
        <f ca="1">'Landscape Trees '!A145</f>
        <v>Pinus strobus</v>
      </c>
      <c r="B329" s="51" t="str">
        <f ca="1">'Landscape Trees '!C145</f>
        <v>Eastern White Pine</v>
      </c>
      <c r="C329" s="51" t="str">
        <f ca="1">'Landscape Trees '!D145</f>
        <v>#5</v>
      </c>
      <c r="D329" s="51" t="str">
        <f ca="1">'Landscape Trees '!E145</f>
        <v>0.5-0.75"</v>
      </c>
      <c r="E329" s="51" t="str">
        <f ca="1">'Landscape Trees '!F145</f>
        <v>2.5-3'</v>
      </c>
      <c r="F329" s="64">
        <f ca="1">'Landscape Trees '!G145</f>
        <v>41</v>
      </c>
      <c r="G329" s="65">
        <f ca="1">'Landscape Trees '!H145</f>
        <v>50</v>
      </c>
      <c r="H329" s="51">
        <f>'Landscape Trees '!I145</f>
        <v>0</v>
      </c>
    </row>
    <row r="330" spans="1:8" ht="12.75" x14ac:dyDescent="0.2">
      <c r="A330" s="51" t="str">
        <f ca="1">'Landscape Trees '!A146</f>
        <v>Platanus occidentalis</v>
      </c>
      <c r="B330" s="51" t="str">
        <f ca="1">'Landscape Trees '!C146</f>
        <v>American Sycamore</v>
      </c>
      <c r="C330" s="51" t="str">
        <f ca="1">'Landscape Trees '!D146</f>
        <v>#5</v>
      </c>
      <c r="D330" s="51" t="str">
        <f ca="1">'Landscape Trees '!E146</f>
        <v>0.25-1.25"</v>
      </c>
      <c r="E330" s="51" t="str">
        <f ca="1">'Landscape Trees '!F146</f>
        <v>1-11'</v>
      </c>
      <c r="F330" s="64">
        <f ca="1">'Landscape Trees '!G146</f>
        <v>51</v>
      </c>
      <c r="G330" s="65">
        <f ca="1">'Landscape Trees '!H146</f>
        <v>50</v>
      </c>
      <c r="H330" s="51">
        <f>'Landscape Trees '!I146</f>
        <v>0</v>
      </c>
    </row>
    <row r="331" spans="1:8" ht="12.75" x14ac:dyDescent="0.2">
      <c r="A331" s="51" t="str">
        <f ca="1">'Landscape Trees '!A147</f>
        <v>Platanus occidentalis</v>
      </c>
      <c r="B331" s="51" t="str">
        <f ca="1">'Landscape Trees '!C147</f>
        <v>American Sycamore</v>
      </c>
      <c r="C331" s="51" t="str">
        <f ca="1">'Landscape Trees '!D147</f>
        <v>#15</v>
      </c>
      <c r="D331" s="51" t="str">
        <f ca="1">'Landscape Trees '!E147</f>
        <v>1.25-1.5"</v>
      </c>
      <c r="E331" s="51" t="str">
        <f ca="1">'Landscape Trees '!F147</f>
        <v>12-14'</v>
      </c>
      <c r="F331" s="64">
        <f ca="1">'Landscape Trees '!G147</f>
        <v>1</v>
      </c>
      <c r="G331" s="65">
        <f ca="1">'Landscape Trees '!H147</f>
        <v>135</v>
      </c>
      <c r="H331" s="51">
        <f>'Landscape Trees '!I147</f>
        <v>0</v>
      </c>
    </row>
    <row r="332" spans="1:8" ht="12.75" x14ac:dyDescent="0.2">
      <c r="A332" s="51" t="str">
        <f ca="1">'Landscape Trees '!A148</f>
        <v>Platanus x acerifolia 'Exclamation'</v>
      </c>
      <c r="B332" s="51" t="str">
        <f ca="1">'Landscape Trees '!C148</f>
        <v>Exclamation London Plane Tree</v>
      </c>
      <c r="C332" s="51" t="str">
        <f ca="1">'Landscape Trees '!D148</f>
        <v>#5</v>
      </c>
      <c r="D332" s="51" t="str">
        <f ca="1">'Landscape Trees '!E148</f>
        <v>0.75-1"</v>
      </c>
      <c r="E332" s="51" t="str">
        <f ca="1">'Landscape Trees '!F148</f>
        <v>5-6'</v>
      </c>
      <c r="F332" s="64">
        <f ca="1">'Landscape Trees '!G148</f>
        <v>6</v>
      </c>
      <c r="G332" s="65">
        <f ca="1">'Landscape Trees '!H148</f>
        <v>50</v>
      </c>
      <c r="H332" s="51">
        <f>'Landscape Trees '!I148</f>
        <v>0</v>
      </c>
    </row>
    <row r="333" spans="1:8" ht="12.75" x14ac:dyDescent="0.2">
      <c r="A333" s="51" t="str">
        <f ca="1">'Landscape Trees '!A149</f>
        <v>Platanus x acerifolia 'Exclamation'</v>
      </c>
      <c r="B333" s="51" t="str">
        <f ca="1">'Landscape Trees '!C149</f>
        <v>Exclamation London Plane Tree</v>
      </c>
      <c r="C333" s="51" t="str">
        <f ca="1">'Landscape Trees '!D149</f>
        <v>#10</v>
      </c>
      <c r="D333" s="51" t="str">
        <f ca="1">'Landscape Trees '!E149</f>
        <v>0.75-2"</v>
      </c>
      <c r="E333" s="51" t="str">
        <f ca="1">'Landscape Trees '!F149</f>
        <v>6-14'</v>
      </c>
      <c r="F333" s="64">
        <f ca="1">'Landscape Trees '!G149</f>
        <v>44</v>
      </c>
      <c r="G333" s="65">
        <f ca="1">'Landscape Trees '!H149</f>
        <v>100</v>
      </c>
      <c r="H333" s="51">
        <f>'Landscape Trees '!I149</f>
        <v>0</v>
      </c>
    </row>
    <row r="334" spans="1:8" ht="12.75" x14ac:dyDescent="0.2">
      <c r="A334" s="51" t="str">
        <f ca="1">'Landscape Trees '!A150</f>
        <v>Platanus x acerifolia 'Exclamation'</v>
      </c>
      <c r="B334" s="51" t="str">
        <f ca="1">'Landscape Trees '!C150</f>
        <v>Exclamation London Plane Tree</v>
      </c>
      <c r="C334" s="51" t="str">
        <f ca="1">'Landscape Trees '!D150</f>
        <v>#15</v>
      </c>
      <c r="D334" s="51" t="str">
        <f ca="1">'Landscape Trees '!E150</f>
        <v>1.25-2"</v>
      </c>
      <c r="E334" s="51" t="str">
        <f ca="1">'Landscape Trees '!F150</f>
        <v>7-12'</v>
      </c>
      <c r="F334" s="64">
        <f ca="1">'Landscape Trees '!G150</f>
        <v>16</v>
      </c>
      <c r="G334" s="65">
        <f ca="1">'Landscape Trees '!H150</f>
        <v>135</v>
      </c>
      <c r="H334" s="51">
        <f>'Landscape Trees '!I150</f>
        <v>0</v>
      </c>
    </row>
    <row r="335" spans="1:8" ht="12.75" x14ac:dyDescent="0.2">
      <c r="A335" s="51" t="str">
        <f ca="1">'Landscape Trees '!A151</f>
        <v>Populus tremuloides</v>
      </c>
      <c r="B335" s="51" t="str">
        <f ca="1">'Landscape Trees '!C151</f>
        <v>Quaking Aspen</v>
      </c>
      <c r="C335" s="51" t="str">
        <f ca="1">'Landscape Trees '!D151</f>
        <v>#5</v>
      </c>
      <c r="D335" s="51" t="str">
        <f ca="1">'Landscape Trees '!E151</f>
        <v>0.5-1"</v>
      </c>
      <c r="E335" s="51" t="str">
        <f ca="1">'Landscape Trees '!F151</f>
        <v>5-9'</v>
      </c>
      <c r="F335" s="64">
        <f ca="1">'Landscape Trees '!G151</f>
        <v>56</v>
      </c>
      <c r="G335" s="65">
        <f ca="1">'Landscape Trees '!H151</f>
        <v>50</v>
      </c>
      <c r="H335" s="51">
        <f>'Landscape Trees '!I151</f>
        <v>0</v>
      </c>
    </row>
    <row r="336" spans="1:8" ht="12.75" x14ac:dyDescent="0.2">
      <c r="A336" s="51" t="str">
        <f ca="1">'Landscape Trees '!A152</f>
        <v>Prunus 'Autumnalis'</v>
      </c>
      <c r="B336" s="51" t="str">
        <f ca="1">'Landscape Trees '!C152</f>
        <v>Autumnalis Cherry</v>
      </c>
      <c r="C336" s="51" t="str">
        <f ca="1">'Landscape Trees '!D152</f>
        <v>#10</v>
      </c>
      <c r="D336" s="51" t="str">
        <f ca="1">'Landscape Trees '!E152</f>
        <v>0.75-1.75"</v>
      </c>
      <c r="E336" s="51" t="str">
        <f ca="1">'Landscape Trees '!F152</f>
        <v>6-11'</v>
      </c>
      <c r="F336" s="64">
        <f ca="1">'Landscape Trees '!G152</f>
        <v>31</v>
      </c>
      <c r="G336" s="65">
        <f ca="1">'Landscape Trees '!H152</f>
        <v>100</v>
      </c>
      <c r="H336" s="51">
        <f>'Landscape Trees '!I152</f>
        <v>0</v>
      </c>
    </row>
    <row r="337" spans="1:8" ht="12.75" x14ac:dyDescent="0.2">
      <c r="A337" s="51" t="str">
        <f ca="1">'Landscape Trees '!A153</f>
        <v>Prunus 'Autumnalis'</v>
      </c>
      <c r="B337" s="51" t="str">
        <f ca="1">'Landscape Trees '!C153</f>
        <v>Autumnalis Cherry</v>
      </c>
      <c r="C337" s="51" t="str">
        <f ca="1">'Landscape Trees '!D153</f>
        <v>#15</v>
      </c>
      <c r="D337" s="51" t="str">
        <f ca="1">'Landscape Trees '!E153</f>
        <v>1-1.25"</v>
      </c>
      <c r="E337" s="51" t="str">
        <f ca="1">'Landscape Trees '!F153</f>
        <v>8-11'</v>
      </c>
      <c r="F337" s="64">
        <f ca="1">'Landscape Trees '!G153</f>
        <v>3</v>
      </c>
      <c r="G337" s="65">
        <f ca="1">'Landscape Trees '!H153</f>
        <v>135</v>
      </c>
      <c r="H337" s="51">
        <f>'Landscape Trees '!I153</f>
        <v>0</v>
      </c>
    </row>
    <row r="338" spans="1:8" ht="12.75" x14ac:dyDescent="0.2">
      <c r="A338" s="51" t="str">
        <f ca="1">'Landscape Trees '!A154</f>
        <v>Prunus 'Mt. Fuji'</v>
      </c>
      <c r="B338" s="51" t="str">
        <f ca="1">'Landscape Trees '!C154</f>
        <v>Mt Fuji Cherry</v>
      </c>
      <c r="C338" s="51" t="str">
        <f ca="1">'Landscape Trees '!D154</f>
        <v>#15</v>
      </c>
      <c r="D338" s="51" t="str">
        <f ca="1">'Landscape Trees '!E154</f>
        <v>1.25-1.25"</v>
      </c>
      <c r="E338" s="51" t="str">
        <f ca="1">'Landscape Trees '!F154</f>
        <v>9-10'</v>
      </c>
      <c r="F338" s="64">
        <f ca="1">'Landscape Trees '!G154</f>
        <v>5</v>
      </c>
      <c r="G338" s="65">
        <f ca="1">'Landscape Trees '!H154</f>
        <v>135</v>
      </c>
      <c r="H338" s="51">
        <f>'Landscape Trees '!I154</f>
        <v>0</v>
      </c>
    </row>
    <row r="339" spans="1:8" ht="12.75" x14ac:dyDescent="0.2">
      <c r="A339" s="51" t="str">
        <f ca="1">'Landscape Trees '!A155</f>
        <v>Prunus 'Okame'</v>
      </c>
      <c r="B339" s="51" t="str">
        <f ca="1">'Landscape Trees '!C155</f>
        <v>Okame Cherry</v>
      </c>
      <c r="C339" s="51" t="str">
        <f ca="1">'Landscape Trees '!D155</f>
        <v>#10</v>
      </c>
      <c r="D339" s="51" t="str">
        <f ca="1">'Landscape Trees '!E155</f>
        <v>0.75-1.75"</v>
      </c>
      <c r="E339" s="51" t="str">
        <f ca="1">'Landscape Trees '!F155</f>
        <v>6-14'</v>
      </c>
      <c r="F339" s="64">
        <f ca="1">'Landscape Trees '!G155</f>
        <v>43</v>
      </c>
      <c r="G339" s="65">
        <f ca="1">'Landscape Trees '!H155</f>
        <v>100</v>
      </c>
      <c r="H339" s="51">
        <f>'Landscape Trees '!I155</f>
        <v>0</v>
      </c>
    </row>
    <row r="340" spans="1:8" ht="12.75" x14ac:dyDescent="0.2">
      <c r="A340" s="51" t="str">
        <f ca="1">'Landscape Trees '!A156</f>
        <v>Prunus 'Okame'</v>
      </c>
      <c r="B340" s="51" t="str">
        <f ca="1">'Landscape Trees '!C156</f>
        <v>Okame Cherry</v>
      </c>
      <c r="C340" s="51" t="str">
        <f ca="1">'Landscape Trees '!D156</f>
        <v>#15</v>
      </c>
      <c r="D340" s="51" t="str">
        <f ca="1">'Landscape Trees '!E156</f>
        <v>0.75-1.25"</v>
      </c>
      <c r="E340" s="51" t="str">
        <f ca="1">'Landscape Trees '!F156</f>
        <v>8-11'</v>
      </c>
      <c r="F340" s="64">
        <f ca="1">'Landscape Trees '!G156</f>
        <v>33</v>
      </c>
      <c r="G340" s="65">
        <f ca="1">'Landscape Trees '!H156</f>
        <v>135</v>
      </c>
      <c r="H340" s="51">
        <f>'Landscape Trees '!I156</f>
        <v>0</v>
      </c>
    </row>
    <row r="341" spans="1:8" ht="12.75" x14ac:dyDescent="0.2">
      <c r="A341" s="51" t="str">
        <f ca="1">'Landscape Trees '!A157</f>
        <v>Prunus × yedoensis</v>
      </c>
      <c r="B341" s="51" t="str">
        <f ca="1">'Landscape Trees '!C157</f>
        <v>Yoshino Cherry</v>
      </c>
      <c r="C341" s="51" t="str">
        <f ca="1">'Landscape Trees '!D157</f>
        <v>#5</v>
      </c>
      <c r="D341" s="51" t="str">
        <f ca="1">'Landscape Trees '!E157</f>
        <v>0.5-0.75"</v>
      </c>
      <c r="E341" s="51" t="str">
        <f ca="1">'Landscape Trees '!F157</f>
        <v>4-7'</v>
      </c>
      <c r="F341" s="64">
        <f ca="1">'Landscape Trees '!G157</f>
        <v>38</v>
      </c>
      <c r="G341" s="65">
        <f ca="1">'Landscape Trees '!H157</f>
        <v>50</v>
      </c>
      <c r="H341" s="51">
        <f>'Landscape Trees '!I157</f>
        <v>0</v>
      </c>
    </row>
    <row r="342" spans="1:8" ht="12.75" x14ac:dyDescent="0.2">
      <c r="A342" s="51" t="str">
        <f ca="1">'Landscape Trees '!A158</f>
        <v>Prunus × yedoensis</v>
      </c>
      <c r="B342" s="51" t="str">
        <f ca="1">'Landscape Trees '!C158</f>
        <v>Yoshino Cherry</v>
      </c>
      <c r="C342" s="51" t="str">
        <f ca="1">'Landscape Trees '!D158</f>
        <v>#15</v>
      </c>
      <c r="D342" s="51" t="str">
        <f ca="1">'Landscape Trees '!E158</f>
        <v>1-1.5"</v>
      </c>
      <c r="E342" s="51" t="str">
        <f ca="1">'Landscape Trees '!F158</f>
        <v>9-10.5'</v>
      </c>
      <c r="F342" s="64">
        <f ca="1">'Landscape Trees '!G158</f>
        <v>27</v>
      </c>
      <c r="G342" s="65">
        <f ca="1">'Landscape Trees '!H158</f>
        <v>135</v>
      </c>
      <c r="H342" s="51">
        <f>'Landscape Trees '!I158</f>
        <v>0</v>
      </c>
    </row>
    <row r="343" spans="1:8" ht="12.75" x14ac:dyDescent="0.2">
      <c r="A343" s="51" t="str">
        <f ca="1">'Landscape Trees '!A159</f>
        <v>Prunus americana</v>
      </c>
      <c r="B343" s="51" t="str">
        <f ca="1">'Landscape Trees '!C159</f>
        <v>American Plum</v>
      </c>
      <c r="C343" s="51" t="str">
        <f ca="1">'Landscape Trees '!D159</f>
        <v>#5</v>
      </c>
      <c r="D343" s="51" t="str">
        <f ca="1">'Landscape Trees '!E159</f>
        <v>0.25-1"</v>
      </c>
      <c r="E343" s="51" t="str">
        <f ca="1">'Landscape Trees '!F159</f>
        <v>2-10'</v>
      </c>
      <c r="F343" s="64">
        <f ca="1">'Landscape Trees '!G159</f>
        <v>39</v>
      </c>
      <c r="G343" s="65">
        <f ca="1">'Landscape Trees '!H159</f>
        <v>50</v>
      </c>
      <c r="H343" s="51">
        <f>'Landscape Trees '!I159</f>
        <v>0</v>
      </c>
    </row>
    <row r="344" spans="1:8" ht="12.75" x14ac:dyDescent="0.2">
      <c r="A344" s="51" t="str">
        <f ca="1">'Landscape Trees '!A160</f>
        <v>Prunus cerasifera 'Thundercloud'</v>
      </c>
      <c r="B344" s="51" t="str">
        <f ca="1">'Landscape Trees '!C160</f>
        <v>Thundercloud Plum</v>
      </c>
      <c r="C344" s="51" t="str">
        <f ca="1">'Landscape Trees '!D160</f>
        <v>#15</v>
      </c>
      <c r="D344" s="51" t="str">
        <f ca="1">'Landscape Trees '!E160</f>
        <v>1-2"</v>
      </c>
      <c r="E344" s="51" t="str">
        <f ca="1">'Landscape Trees '!F160</f>
        <v>10-12'</v>
      </c>
      <c r="F344" s="64">
        <f ca="1">'Landscape Trees '!G160</f>
        <v>11</v>
      </c>
      <c r="G344" s="65">
        <f ca="1">'Landscape Trees '!H160</f>
        <v>135</v>
      </c>
      <c r="H344" s="51">
        <f>'Landscape Trees '!I160</f>
        <v>0</v>
      </c>
    </row>
    <row r="345" spans="1:8" ht="12.75" x14ac:dyDescent="0.2">
      <c r="A345" s="51" t="str">
        <f ca="1">'Landscape Trees '!A161</f>
        <v>Prunus serotina</v>
      </c>
      <c r="B345" s="51" t="str">
        <f ca="1">'Landscape Trees '!C161</f>
        <v>Black Cherry</v>
      </c>
      <c r="C345" s="51" t="str">
        <f ca="1">'Landscape Trees '!D161</f>
        <v>#5</v>
      </c>
      <c r="D345" s="51" t="str">
        <f ca="1">'Landscape Trees '!E161</f>
        <v>0.25-1.25"</v>
      </c>
      <c r="E345" s="51" t="str">
        <f ca="1">'Landscape Trees '!F161</f>
        <v>4-7'</v>
      </c>
      <c r="F345" s="64">
        <f ca="1">'Landscape Trees '!G161</f>
        <v>32</v>
      </c>
      <c r="G345" s="65">
        <f ca="1">'Landscape Trees '!H161</f>
        <v>50</v>
      </c>
      <c r="H345" s="51">
        <f>'Landscape Trees '!I161</f>
        <v>0</v>
      </c>
    </row>
    <row r="346" spans="1:8" ht="12.75" x14ac:dyDescent="0.2">
      <c r="A346" s="51" t="str">
        <f ca="1">'Landscape Trees '!A162</f>
        <v>Prunus serrulata 'Kwanzan'</v>
      </c>
      <c r="B346" s="51" t="str">
        <f ca="1">'Landscape Trees '!C162</f>
        <v>Kwanzan Cherry</v>
      </c>
      <c r="C346" s="51" t="str">
        <f ca="1">'Landscape Trees '!D162</f>
        <v>#5</v>
      </c>
      <c r="D346" s="51" t="str">
        <f ca="1">'Landscape Trees '!E162</f>
        <v>0.25-1.5"</v>
      </c>
      <c r="E346" s="51" t="str">
        <f ca="1">'Landscape Trees '!F162</f>
        <v>4-8'</v>
      </c>
      <c r="F346" s="64">
        <f ca="1">'Landscape Trees '!G162</f>
        <v>27</v>
      </c>
      <c r="G346" s="65">
        <f ca="1">'Landscape Trees '!H162</f>
        <v>50</v>
      </c>
      <c r="H346" s="51">
        <f>'Landscape Trees '!I162</f>
        <v>0</v>
      </c>
    </row>
    <row r="347" spans="1:8" ht="12.75" x14ac:dyDescent="0.2">
      <c r="A347" s="51" t="str">
        <f ca="1">'Landscape Trees '!A163</f>
        <v>Prunus serrulata 'Kwanzan'</v>
      </c>
      <c r="B347" s="51" t="str">
        <f ca="1">'Landscape Trees '!C163</f>
        <v>Kwanzan Cherry</v>
      </c>
      <c r="C347" s="51" t="str">
        <f ca="1">'Landscape Trees '!D163</f>
        <v>#10</v>
      </c>
      <c r="D347" s="51" t="str">
        <f ca="1">'Landscape Trees '!E163</f>
        <v>0.75-2"</v>
      </c>
      <c r="E347" s="51" t="str">
        <f ca="1">'Landscape Trees '!F163</f>
        <v>6-10'</v>
      </c>
      <c r="F347" s="64">
        <f ca="1">'Landscape Trees '!G163</f>
        <v>28</v>
      </c>
      <c r="G347" s="65">
        <f ca="1">'Landscape Trees '!H163</f>
        <v>100</v>
      </c>
      <c r="H347" s="51">
        <f>'Landscape Trees '!I163</f>
        <v>0</v>
      </c>
    </row>
    <row r="348" spans="1:8" ht="12.75" x14ac:dyDescent="0.2">
      <c r="A348" s="51" t="str">
        <f ca="1">'Landscape Trees '!A164</f>
        <v>Prunus subhirtella 'Snow Fountains'</v>
      </c>
      <c r="B348" s="51" t="str">
        <f ca="1">'Landscape Trees '!C164</f>
        <v>Snow Fountains Weeping Cherry</v>
      </c>
      <c r="C348" s="51" t="str">
        <f ca="1">'Landscape Trees '!D164</f>
        <v>#15</v>
      </c>
      <c r="D348" s="51" t="str">
        <f ca="1">'Landscape Trees '!E164</f>
        <v>1.25-2.25"</v>
      </c>
      <c r="E348" s="51" t="str">
        <f ca="1">'Landscape Trees '!F164</f>
        <v>6-7'</v>
      </c>
      <c r="F348" s="64">
        <f ca="1">'Landscape Trees '!G164</f>
        <v>17</v>
      </c>
      <c r="G348" s="65">
        <f ca="1">'Landscape Trees '!H164</f>
        <v>135</v>
      </c>
      <c r="H348" s="51">
        <f>'Landscape Trees '!I164</f>
        <v>0</v>
      </c>
    </row>
    <row r="349" spans="1:8" ht="12.75" x14ac:dyDescent="0.2">
      <c r="A349" s="51" t="str">
        <f ca="1">'Landscape Trees '!A165</f>
        <v>Prunus subhirtella "Pendula plena rosea"</v>
      </c>
      <c r="B349" s="51" t="str">
        <f ca="1">'Landscape Trees '!C165</f>
        <v>Double Pink Weeping Cherry</v>
      </c>
      <c r="C349" s="51" t="str">
        <f ca="1">'Landscape Trees '!D165</f>
        <v>#15</v>
      </c>
      <c r="D349" s="51" t="str">
        <f ca="1">'Landscape Trees '!E165</f>
        <v>1-1.5"</v>
      </c>
      <c r="E349" s="51" t="str">
        <f ca="1">'Landscape Trees '!F165</f>
        <v>6.5-7'</v>
      </c>
      <c r="F349" s="64">
        <f ca="1">'Landscape Trees '!G165</f>
        <v>12</v>
      </c>
      <c r="G349" s="65">
        <f ca="1">'Landscape Trees '!H165</f>
        <v>135</v>
      </c>
      <c r="H349" s="51">
        <f>'Landscape Trees '!I165</f>
        <v>0</v>
      </c>
    </row>
    <row r="350" spans="1:8" ht="12.75" x14ac:dyDescent="0.2">
      <c r="A350" s="51" t="str">
        <f ca="1">'Landscape Trees '!A166</f>
        <v>Prunus virginiana</v>
      </c>
      <c r="B350" s="51" t="str">
        <f ca="1">'Landscape Trees '!C166</f>
        <v>Chokecherry</v>
      </c>
      <c r="C350" s="51" t="str">
        <f ca="1">'Landscape Trees '!D166</f>
        <v>#5</v>
      </c>
      <c r="D350" s="51" t="str">
        <f ca="1">'Landscape Trees '!E166</f>
        <v>Multi</v>
      </c>
      <c r="E350" s="51" t="str">
        <f ca="1">'Landscape Trees '!F166</f>
        <v>1.5-3'</v>
      </c>
      <c r="F350" s="64">
        <f ca="1">'Landscape Trees '!G166</f>
        <v>48</v>
      </c>
      <c r="G350" s="65">
        <f ca="1">'Landscape Trees '!H166</f>
        <v>50</v>
      </c>
      <c r="H350" s="51">
        <f>'Landscape Trees '!I166</f>
        <v>0</v>
      </c>
    </row>
    <row r="351" spans="1:8" ht="12.75" x14ac:dyDescent="0.2">
      <c r="A351" s="51" t="str">
        <f ca="1">'Landscape Trees '!A167</f>
        <v>Prunus virginiana 'Shubert Select'</v>
      </c>
      <c r="B351" s="51" t="str">
        <f ca="1">'Landscape Trees '!C167</f>
        <v>Canada Red Select Cherry</v>
      </c>
      <c r="C351" s="51" t="str">
        <f ca="1">'Landscape Trees '!D167</f>
        <v>#15</v>
      </c>
      <c r="D351" s="51" t="str">
        <f ca="1">'Landscape Trees '!E167</f>
        <v>1.25-1.25"</v>
      </c>
      <c r="E351" s="51" t="str">
        <f ca="1">'Landscape Trees '!F167</f>
        <v>10-10.5'</v>
      </c>
      <c r="F351" s="64">
        <f ca="1">'Landscape Trees '!G167</f>
        <v>4</v>
      </c>
      <c r="G351" s="65">
        <f ca="1">'Landscape Trees '!H167</f>
        <v>135</v>
      </c>
      <c r="H351" s="51">
        <f>'Landscape Trees '!I167</f>
        <v>0</v>
      </c>
    </row>
    <row r="352" spans="1:8" ht="12.75" x14ac:dyDescent="0.2">
      <c r="A352" s="51" t="str">
        <f ca="1">'Landscape Trees '!A168</f>
        <v>Quercus alba</v>
      </c>
      <c r="B352" s="51" t="str">
        <f ca="1">'Landscape Trees '!C168</f>
        <v>White Oak</v>
      </c>
      <c r="C352" s="51" t="str">
        <f ca="1">'Landscape Trees '!D168</f>
        <v>#5</v>
      </c>
      <c r="D352" s="51" t="str">
        <f ca="1">'Landscape Trees '!E168</f>
        <v>0.5-0.75"</v>
      </c>
      <c r="E352" s="51" t="str">
        <f ca="1">'Landscape Trees '!F168</f>
        <v>3-6'</v>
      </c>
      <c r="F352" s="64">
        <f ca="1">'Landscape Trees '!G168</f>
        <v>68</v>
      </c>
      <c r="G352" s="65">
        <f ca="1">'Landscape Trees '!H168</f>
        <v>50</v>
      </c>
      <c r="H352" s="51">
        <f>'Landscape Trees '!I168</f>
        <v>0</v>
      </c>
    </row>
    <row r="353" spans="1:8" ht="12.75" x14ac:dyDescent="0.2">
      <c r="A353" s="51" t="str">
        <f ca="1">'Landscape Trees '!A169</f>
        <v>Quercus alba</v>
      </c>
      <c r="B353" s="51" t="str">
        <f ca="1">'Landscape Trees '!C169</f>
        <v>White Oak</v>
      </c>
      <c r="C353" s="51" t="str">
        <f ca="1">'Landscape Trees '!D169</f>
        <v>#7</v>
      </c>
      <c r="D353" s="51" t="str">
        <f ca="1">'Landscape Trees '!E169</f>
        <v>0.5-1"</v>
      </c>
      <c r="E353" s="51" t="str">
        <f ca="1">'Landscape Trees '!F169</f>
        <v>4-10'</v>
      </c>
      <c r="F353" s="64">
        <f ca="1">'Landscape Trees '!G169</f>
        <v>1</v>
      </c>
      <c r="G353" s="65">
        <f ca="1">'Landscape Trees '!H169</f>
        <v>70</v>
      </c>
      <c r="H353" s="51">
        <f>'Landscape Trees '!I169</f>
        <v>0</v>
      </c>
    </row>
    <row r="354" spans="1:8" ht="12.75" x14ac:dyDescent="0.2">
      <c r="A354" s="51" t="str">
        <f ca="1">'Landscape Trees '!A170</f>
        <v>Quercus alba</v>
      </c>
      <c r="B354" s="51" t="str">
        <f ca="1">'Landscape Trees '!C170</f>
        <v>White Oak</v>
      </c>
      <c r="C354" s="51" t="str">
        <f ca="1">'Landscape Trees '!D170</f>
        <v>#10</v>
      </c>
      <c r="D354" s="51" t="str">
        <f ca="1">'Landscape Trees '!E170</f>
        <v>0.5-1.25"</v>
      </c>
      <c r="E354" s="51" t="str">
        <f ca="1">'Landscape Trees '!F170</f>
        <v>6-9'</v>
      </c>
      <c r="F354" s="64">
        <f ca="1">'Landscape Trees '!G170</f>
        <v>30</v>
      </c>
      <c r="G354" s="65">
        <f ca="1">'Landscape Trees '!H170</f>
        <v>100</v>
      </c>
      <c r="H354" s="51">
        <f>'Landscape Trees '!I170</f>
        <v>0</v>
      </c>
    </row>
    <row r="355" spans="1:8" ht="12.75" x14ac:dyDescent="0.2">
      <c r="A355" s="51" t="str">
        <f ca="1">'Landscape Trees '!A171</f>
        <v>Quercus alba</v>
      </c>
      <c r="B355" s="51" t="str">
        <f ca="1">'Landscape Trees '!C171</f>
        <v>White Oak</v>
      </c>
      <c r="C355" s="51" t="str">
        <f ca="1">'Landscape Trees '!D171</f>
        <v>#15</v>
      </c>
      <c r="D355" s="51" t="str">
        <f ca="1">'Landscape Trees '!E171</f>
        <v>1.25-1.75"</v>
      </c>
      <c r="E355" s="51" t="str">
        <f ca="1">'Landscape Trees '!F171</f>
        <v>8.5-10'</v>
      </c>
      <c r="F355" s="64">
        <f ca="1">'Landscape Trees '!G171</f>
        <v>3</v>
      </c>
      <c r="G355" s="65">
        <f ca="1">'Landscape Trees '!H171</f>
        <v>135</v>
      </c>
      <c r="H355" s="51">
        <f>'Landscape Trees '!I171</f>
        <v>0</v>
      </c>
    </row>
    <row r="356" spans="1:8" ht="12.75" x14ac:dyDescent="0.2">
      <c r="A356" s="51" t="str">
        <f ca="1">'Landscape Trees '!A172</f>
        <v>Quercus bicolor</v>
      </c>
      <c r="B356" s="51" t="str">
        <f ca="1">'Landscape Trees '!C172</f>
        <v>Swamp White Oak</v>
      </c>
      <c r="C356" s="51" t="str">
        <f ca="1">'Landscape Trees '!D172</f>
        <v>#5</v>
      </c>
      <c r="D356" s="51" t="str">
        <f ca="1">'Landscape Trees '!E172</f>
        <v>0.5-1"</v>
      </c>
      <c r="E356" s="51" t="str">
        <f ca="1">'Landscape Trees '!F172</f>
        <v>3-9'</v>
      </c>
      <c r="F356" s="64">
        <f ca="1">'Landscape Trees '!G172</f>
        <v>311</v>
      </c>
      <c r="G356" s="65">
        <f ca="1">'Landscape Trees '!H172</f>
        <v>50</v>
      </c>
      <c r="H356" s="51">
        <f>'Landscape Trees '!I172</f>
        <v>0</v>
      </c>
    </row>
    <row r="357" spans="1:8" ht="12.75" x14ac:dyDescent="0.2">
      <c r="A357" s="51" t="str">
        <f ca="1">'Landscape Trees '!A173</f>
        <v>Quercus bicolor</v>
      </c>
      <c r="B357" s="51" t="str">
        <f ca="1">'Landscape Trees '!C173</f>
        <v>Swamp White Oak</v>
      </c>
      <c r="C357" s="51" t="str">
        <f ca="1">'Landscape Trees '!D173</f>
        <v>#7</v>
      </c>
      <c r="D357" s="51" t="str">
        <f ca="1">'Landscape Trees '!E173</f>
        <v>0.5-0.75"</v>
      </c>
      <c r="E357" s="51" t="str">
        <f ca="1">'Landscape Trees '!F173</f>
        <v>3-7'</v>
      </c>
      <c r="F357" s="64">
        <f ca="1">'Landscape Trees '!G173</f>
        <v>50</v>
      </c>
      <c r="G357" s="65">
        <f ca="1">'Landscape Trees '!H173</f>
        <v>70</v>
      </c>
      <c r="H357" s="51">
        <f>'Landscape Trees '!I173</f>
        <v>0</v>
      </c>
    </row>
    <row r="358" spans="1:8" ht="12.75" x14ac:dyDescent="0.2">
      <c r="A358" s="51" t="str">
        <f ca="1">'Landscape Trees '!A174</f>
        <v>Quercus bicolor</v>
      </c>
      <c r="B358" s="51" t="str">
        <f ca="1">'Landscape Trees '!C174</f>
        <v>Swamp White Oak</v>
      </c>
      <c r="C358" s="51" t="str">
        <f ca="1">'Landscape Trees '!D174</f>
        <v>#10</v>
      </c>
      <c r="D358" s="51" t="str">
        <f ca="1">'Landscape Trees '!E174</f>
        <v>0.75-1.25"</v>
      </c>
      <c r="E358" s="51" t="str">
        <f ca="1">'Landscape Trees '!F174</f>
        <v>4.5-10'</v>
      </c>
      <c r="F358" s="64">
        <f ca="1">'Landscape Trees '!G174</f>
        <v>100</v>
      </c>
      <c r="G358" s="65">
        <f ca="1">'Landscape Trees '!H174</f>
        <v>100</v>
      </c>
      <c r="H358" s="51">
        <f>'Landscape Trees '!I174</f>
        <v>0</v>
      </c>
    </row>
    <row r="359" spans="1:8" ht="12.75" x14ac:dyDescent="0.2">
      <c r="A359" s="51" t="str">
        <f ca="1">'Landscape Trees '!A175</f>
        <v>Quercus bicolor</v>
      </c>
      <c r="B359" s="51" t="str">
        <f ca="1">'Landscape Trees '!C175</f>
        <v>Swamp White Oak</v>
      </c>
      <c r="C359" s="51" t="str">
        <f ca="1">'Landscape Trees '!D175</f>
        <v>#15</v>
      </c>
      <c r="D359" s="51" t="str">
        <f ca="1">'Landscape Trees '!E175</f>
        <v>1-1.75"</v>
      </c>
      <c r="E359" s="51" t="str">
        <f ca="1">'Landscape Trees '!F175</f>
        <v>10-12'</v>
      </c>
      <c r="F359" s="64">
        <f ca="1">'Landscape Trees '!G175</f>
        <v>4</v>
      </c>
      <c r="G359" s="65">
        <f ca="1">'Landscape Trees '!H175</f>
        <v>135</v>
      </c>
      <c r="H359" s="51">
        <f>'Landscape Trees '!I175</f>
        <v>0</v>
      </c>
    </row>
    <row r="360" spans="1:8" ht="12.75" x14ac:dyDescent="0.2">
      <c r="A360" s="51" t="str">
        <f ca="1">'Landscape Trees '!A176</f>
        <v>Quercus hemisphaerica</v>
      </c>
      <c r="B360" s="51" t="str">
        <f ca="1">'Landscape Trees '!C176</f>
        <v>Laurel Oak</v>
      </c>
      <c r="C360" s="51" t="str">
        <f ca="1">'Landscape Trees '!D176</f>
        <v>#5</v>
      </c>
      <c r="D360" s="51" t="str">
        <f ca="1">'Landscape Trees '!E176</f>
        <v>0.5-1"</v>
      </c>
      <c r="E360" s="51" t="str">
        <f ca="1">'Landscape Trees '!F176</f>
        <v>4-7'</v>
      </c>
      <c r="F360" s="64">
        <f ca="1">'Landscape Trees '!G176</f>
        <v>3</v>
      </c>
      <c r="G360" s="65">
        <f ca="1">'Landscape Trees '!H176</f>
        <v>50</v>
      </c>
      <c r="H360" s="51">
        <f>'Landscape Trees '!I176</f>
        <v>0</v>
      </c>
    </row>
    <row r="361" spans="1:8" ht="12.75" x14ac:dyDescent="0.2">
      <c r="A361" s="51" t="str">
        <f ca="1">'Landscape Trees '!A177</f>
        <v>Quercus imbricaria</v>
      </c>
      <c r="B361" s="51" t="str">
        <f ca="1">'Landscape Trees '!C177</f>
        <v>Shingle Oak</v>
      </c>
      <c r="C361" s="51" t="str">
        <f ca="1">'Landscape Trees '!D177</f>
        <v>#5</v>
      </c>
      <c r="D361" s="51" t="str">
        <f ca="1">'Landscape Trees '!E177</f>
        <v>0.25-1"</v>
      </c>
      <c r="E361" s="51" t="str">
        <f ca="1">'Landscape Trees '!F177</f>
        <v>2-8'</v>
      </c>
      <c r="F361" s="64">
        <f ca="1">'Landscape Trees '!G177</f>
        <v>28</v>
      </c>
      <c r="G361" s="65">
        <f ca="1">'Landscape Trees '!H177</f>
        <v>50</v>
      </c>
      <c r="H361" s="51">
        <f>'Landscape Trees '!I177</f>
        <v>0</v>
      </c>
    </row>
    <row r="362" spans="1:8" ht="12.75" x14ac:dyDescent="0.2">
      <c r="A362" s="51" t="str">
        <f ca="1">'Landscape Trees '!A178</f>
        <v>Quercus lyrata</v>
      </c>
      <c r="B362" s="51" t="str">
        <f ca="1">'Landscape Trees '!C178</f>
        <v>Overcup Oak</v>
      </c>
      <c r="C362" s="51" t="str">
        <f ca="1">'Landscape Trees '!D178</f>
        <v>#5</v>
      </c>
      <c r="D362" s="51" t="str">
        <f ca="1">'Landscape Trees '!E178</f>
        <v>0.25-1"</v>
      </c>
      <c r="E362" s="51" t="str">
        <f ca="1">'Landscape Trees '!F178</f>
        <v>3-8'</v>
      </c>
      <c r="F362" s="64">
        <f ca="1">'Landscape Trees '!G178</f>
        <v>10</v>
      </c>
      <c r="G362" s="65">
        <f ca="1">'Landscape Trees '!H178</f>
        <v>50</v>
      </c>
      <c r="H362" s="51">
        <f>'Landscape Trees '!I178</f>
        <v>0</v>
      </c>
    </row>
    <row r="363" spans="1:8" ht="12.75" x14ac:dyDescent="0.2">
      <c r="A363" s="51" t="str">
        <f ca="1">'Landscape Trees '!A179</f>
        <v>Quercus macrocarpa</v>
      </c>
      <c r="B363" s="51" t="str">
        <f ca="1">'Landscape Trees '!C179</f>
        <v>Bur Oak</v>
      </c>
      <c r="C363" s="51" t="str">
        <f ca="1">'Landscape Trees '!D179</f>
        <v>#5</v>
      </c>
      <c r="D363" s="51" t="str">
        <f ca="1">'Landscape Trees '!E179</f>
        <v>0.75-1"</v>
      </c>
      <c r="E363" s="51" t="str">
        <f ca="1">'Landscape Trees '!F179</f>
        <v>4-7'</v>
      </c>
      <c r="F363" s="64">
        <f ca="1">'Landscape Trees '!G179</f>
        <v>27</v>
      </c>
      <c r="G363" s="65">
        <f ca="1">'Landscape Trees '!H179</f>
        <v>50</v>
      </c>
      <c r="H363" s="51">
        <f>'Landscape Trees '!I179</f>
        <v>0</v>
      </c>
    </row>
    <row r="364" spans="1:8" ht="12.75" x14ac:dyDescent="0.2">
      <c r="A364" s="51" t="str">
        <f ca="1">'Landscape Trees '!A180</f>
        <v>Quercus macrocarpa</v>
      </c>
      <c r="B364" s="51" t="str">
        <f ca="1">'Landscape Trees '!C180</f>
        <v>Bur Oak</v>
      </c>
      <c r="C364" s="51" t="str">
        <f ca="1">'Landscape Trees '!D180</f>
        <v>#10</v>
      </c>
      <c r="D364" s="51" t="str">
        <f ca="1">'Landscape Trees '!E180</f>
        <v>1-1"</v>
      </c>
      <c r="E364" s="51" t="str">
        <f ca="1">'Landscape Trees '!F180</f>
        <v>6-8'</v>
      </c>
      <c r="F364" s="64">
        <f ca="1">'Landscape Trees '!G180</f>
        <v>1</v>
      </c>
      <c r="G364" s="65">
        <f ca="1">'Landscape Trees '!H180</f>
        <v>100</v>
      </c>
      <c r="H364" s="51">
        <f>'Landscape Trees '!I180</f>
        <v>0</v>
      </c>
    </row>
    <row r="365" spans="1:8" ht="12.75" x14ac:dyDescent="0.2">
      <c r="A365" s="51" t="str">
        <f ca="1">'Landscape Trees '!A181</f>
        <v>Quercus macrocarpa</v>
      </c>
      <c r="B365" s="51" t="str">
        <f ca="1">'Landscape Trees '!C181</f>
        <v>Bur Oak</v>
      </c>
      <c r="C365" s="51" t="str">
        <f ca="1">'Landscape Trees '!D181</f>
        <v>#15</v>
      </c>
      <c r="D365" s="51" t="str">
        <f ca="1">'Landscape Trees '!E181</f>
        <v>1-1.25"</v>
      </c>
      <c r="E365" s="51" t="str">
        <f ca="1">'Landscape Trees '!F181</f>
        <v>10-12'</v>
      </c>
      <c r="F365" s="64">
        <f ca="1">'Landscape Trees '!G181</f>
        <v>3</v>
      </c>
      <c r="G365" s="65">
        <f ca="1">'Landscape Trees '!H181</f>
        <v>135</v>
      </c>
      <c r="H365" s="51">
        <f>'Landscape Trees '!I181</f>
        <v>0</v>
      </c>
    </row>
    <row r="366" spans="1:8" ht="12.75" x14ac:dyDescent="0.2">
      <c r="A366" s="51" t="str">
        <f ca="1">'Landscape Trees '!A182</f>
        <v>Quercus palustris</v>
      </c>
      <c r="B366" s="51" t="str">
        <f ca="1">'Landscape Trees '!C182</f>
        <v>Pin Oak</v>
      </c>
      <c r="C366" s="51" t="str">
        <f ca="1">'Landscape Trees '!D182</f>
        <v>#5</v>
      </c>
      <c r="D366" s="51" t="str">
        <f ca="1">'Landscape Trees '!E182</f>
        <v>0.5-1.25"</v>
      </c>
      <c r="E366" s="51" t="str">
        <f ca="1">'Landscape Trees '!F182</f>
        <v>4-12'</v>
      </c>
      <c r="F366" s="64">
        <f ca="1">'Landscape Trees '!G182</f>
        <v>9</v>
      </c>
      <c r="G366" s="65">
        <f ca="1">'Landscape Trees '!H182</f>
        <v>50</v>
      </c>
      <c r="H366" s="51">
        <f>'Landscape Trees '!I182</f>
        <v>0</v>
      </c>
    </row>
    <row r="367" spans="1:8" ht="12.75" x14ac:dyDescent="0.2">
      <c r="A367" s="51" t="str">
        <f ca="1">'Landscape Trees '!A183</f>
        <v>Quercus palustris</v>
      </c>
      <c r="B367" s="51" t="str">
        <f ca="1">'Landscape Trees '!C183</f>
        <v>Pin Oak</v>
      </c>
      <c r="C367" s="51" t="str">
        <f ca="1">'Landscape Trees '!D183</f>
        <v>#7</v>
      </c>
      <c r="D367" s="51" t="str">
        <f ca="1">'Landscape Trees '!E183</f>
        <v>1.25-1.5"</v>
      </c>
      <c r="E367" s="51" t="str">
        <f ca="1">'Landscape Trees '!F183</f>
        <v>9-12'</v>
      </c>
      <c r="F367" s="64">
        <f ca="1">'Landscape Trees '!G183</f>
        <v>1</v>
      </c>
      <c r="G367" s="65">
        <f ca="1">'Landscape Trees '!H183</f>
        <v>70</v>
      </c>
      <c r="H367" s="51">
        <f>'Landscape Trees '!I183</f>
        <v>0</v>
      </c>
    </row>
    <row r="368" spans="1:8" ht="12.75" x14ac:dyDescent="0.2">
      <c r="A368" s="51" t="str">
        <f ca="1">'Landscape Trees '!A184</f>
        <v>Quercus palustris</v>
      </c>
      <c r="B368" s="51" t="str">
        <f ca="1">'Landscape Trees '!C184</f>
        <v>Pin Oak</v>
      </c>
      <c r="C368" s="51" t="str">
        <f ca="1">'Landscape Trees '!D184</f>
        <v>#10</v>
      </c>
      <c r="D368" s="51" t="str">
        <f ca="1">'Landscape Trees '!E184</f>
        <v>1-2"</v>
      </c>
      <c r="E368" s="51" t="str">
        <f ca="1">'Landscape Trees '!F184</f>
        <v>7-10'</v>
      </c>
      <c r="F368" s="64">
        <f ca="1">'Landscape Trees '!G184</f>
        <v>15</v>
      </c>
      <c r="G368" s="65">
        <f ca="1">'Landscape Trees '!H184</f>
        <v>100</v>
      </c>
      <c r="H368" s="51">
        <f>'Landscape Trees '!I184</f>
        <v>0</v>
      </c>
    </row>
    <row r="369" spans="1:8" ht="12.75" x14ac:dyDescent="0.2">
      <c r="A369" s="51" t="str">
        <f ca="1">'Landscape Trees '!A185</f>
        <v>Quercus palustris</v>
      </c>
      <c r="B369" s="51" t="str">
        <f ca="1">'Landscape Trees '!C185</f>
        <v>Pin Oak</v>
      </c>
      <c r="C369" s="51" t="str">
        <f ca="1">'Landscape Trees '!D185</f>
        <v>#15</v>
      </c>
      <c r="D369" s="51" t="str">
        <f ca="1">'Landscape Trees '!E185</f>
        <v>1.5-1.75"</v>
      </c>
      <c r="E369" s="51" t="str">
        <f ca="1">'Landscape Trees '!F185</f>
        <v>11-15'</v>
      </c>
      <c r="F369" s="64">
        <f ca="1">'Landscape Trees '!G185</f>
        <v>1</v>
      </c>
      <c r="G369" s="65">
        <f ca="1">'Landscape Trees '!H185</f>
        <v>135</v>
      </c>
      <c r="H369" s="51">
        <f>'Landscape Trees '!I185</f>
        <v>0</v>
      </c>
    </row>
    <row r="370" spans="1:8" ht="12.75" x14ac:dyDescent="0.2">
      <c r="A370" s="51" t="str">
        <f ca="1">'Landscape Trees '!A186</f>
        <v>Quercus phellos</v>
      </c>
      <c r="B370" s="51" t="str">
        <f ca="1">'Landscape Trees '!C186</f>
        <v>Willow Oak</v>
      </c>
      <c r="C370" s="51" t="str">
        <f ca="1">'Landscape Trees '!D186</f>
        <v>#7</v>
      </c>
      <c r="D370" s="51" t="str">
        <f ca="1">'Landscape Trees '!E186</f>
        <v>0.75-1.25"</v>
      </c>
      <c r="E370" s="51" t="str">
        <f ca="1">'Landscape Trees '!F186</f>
        <v>4-8'</v>
      </c>
      <c r="F370" s="64">
        <f ca="1">'Landscape Trees '!G186</f>
        <v>1</v>
      </c>
      <c r="G370" s="65">
        <f ca="1">'Landscape Trees '!H186</f>
        <v>70</v>
      </c>
      <c r="H370" s="51">
        <f>'Landscape Trees '!I186</f>
        <v>0</v>
      </c>
    </row>
    <row r="371" spans="1:8" ht="12.75" x14ac:dyDescent="0.2">
      <c r="A371" s="51" t="str">
        <f ca="1">'Landscape Trees '!A187</f>
        <v>Quercus phellos</v>
      </c>
      <c r="B371" s="51" t="str">
        <f ca="1">'Landscape Trees '!C187</f>
        <v>Willow Oak</v>
      </c>
      <c r="C371" s="51" t="str">
        <f ca="1">'Landscape Trees '!D187</f>
        <v>#10</v>
      </c>
      <c r="D371" s="51" t="str">
        <f ca="1">'Landscape Trees '!E187</f>
        <v>0.5-0.75"</v>
      </c>
      <c r="E371" s="51" t="str">
        <f ca="1">'Landscape Trees '!F187</f>
        <v>4-5'</v>
      </c>
      <c r="F371" s="64">
        <f ca="1">'Landscape Trees '!G187</f>
        <v>26</v>
      </c>
      <c r="G371" s="65">
        <f ca="1">'Landscape Trees '!H187</f>
        <v>100</v>
      </c>
      <c r="H371" s="51">
        <f>'Landscape Trees '!I187</f>
        <v>0</v>
      </c>
    </row>
    <row r="372" spans="1:8" ht="12.75" x14ac:dyDescent="0.2">
      <c r="A372" s="51" t="str">
        <f ca="1">'Landscape Trees '!A188</f>
        <v>Quercus rubra</v>
      </c>
      <c r="B372" s="51" t="str">
        <f ca="1">'Landscape Trees '!C188</f>
        <v>Red Oak</v>
      </c>
      <c r="C372" s="51" t="str">
        <f ca="1">'Landscape Trees '!D188</f>
        <v>#7</v>
      </c>
      <c r="D372" s="51" t="str">
        <f ca="1">'Landscape Trees '!E188</f>
        <v>0.75-1.5"</v>
      </c>
      <c r="E372" s="51" t="str">
        <f ca="1">'Landscape Trees '!F188</f>
        <v>3.5-11'</v>
      </c>
      <c r="F372" s="64">
        <f ca="1">'Landscape Trees '!G188</f>
        <v>10</v>
      </c>
      <c r="G372" s="65">
        <f ca="1">'Landscape Trees '!H188</f>
        <v>70</v>
      </c>
      <c r="H372" s="51">
        <f>'Landscape Trees '!I188</f>
        <v>0</v>
      </c>
    </row>
    <row r="373" spans="1:8" ht="12.75" x14ac:dyDescent="0.2">
      <c r="A373" s="51" t="str">
        <f ca="1">'Landscape Trees '!A189</f>
        <v>Quercus rubra</v>
      </c>
      <c r="B373" s="51" t="str">
        <f ca="1">'Landscape Trees '!C189</f>
        <v>Red Oak</v>
      </c>
      <c r="C373" s="51" t="str">
        <f ca="1">'Landscape Trees '!D189</f>
        <v>#10</v>
      </c>
      <c r="D373" s="51" t="str">
        <f ca="1">'Landscape Trees '!E189</f>
        <v>0.75-1.25"</v>
      </c>
      <c r="E373" s="51" t="str">
        <f ca="1">'Landscape Trees '!F189</f>
        <v>6-9'</v>
      </c>
      <c r="F373" s="64">
        <f ca="1">'Landscape Trees '!G189</f>
        <v>19</v>
      </c>
      <c r="G373" s="65">
        <f ca="1">'Landscape Trees '!H189</f>
        <v>100</v>
      </c>
      <c r="H373" s="51">
        <f>'Landscape Trees '!I189</f>
        <v>0</v>
      </c>
    </row>
    <row r="374" spans="1:8" ht="12.75" x14ac:dyDescent="0.2">
      <c r="A374" s="51" t="str">
        <f ca="1">'Landscape Trees '!A190</f>
        <v>Quercus rubra</v>
      </c>
      <c r="B374" s="51" t="str">
        <f ca="1">'Landscape Trees '!C190</f>
        <v>Red Oak</v>
      </c>
      <c r="C374" s="51" t="str">
        <f ca="1">'Landscape Trees '!D190</f>
        <v>#15</v>
      </c>
      <c r="D374" s="51" t="str">
        <f ca="1">'Landscape Trees '!E190</f>
        <v>1-2.25"</v>
      </c>
      <c r="E374" s="51" t="str">
        <f ca="1">'Landscape Trees '!F190</f>
        <v>9-14'</v>
      </c>
      <c r="F374" s="64">
        <f ca="1">'Landscape Trees '!G190</f>
        <v>10</v>
      </c>
      <c r="G374" s="65">
        <f ca="1">'Landscape Trees '!H190</f>
        <v>135</v>
      </c>
      <c r="H374" s="51">
        <f>'Landscape Trees '!I190</f>
        <v>0</v>
      </c>
    </row>
    <row r="375" spans="1:8" ht="12.75" x14ac:dyDescent="0.2">
      <c r="A375" s="51" t="str">
        <f ca="1">'Landscape Trees '!A191</f>
        <v>Quercus stellata</v>
      </c>
      <c r="B375" s="51" t="str">
        <f ca="1">'Landscape Trees '!C191</f>
        <v>Post Oak</v>
      </c>
      <c r="C375" s="51" t="str">
        <f ca="1">'Landscape Trees '!D191</f>
        <v>#5</v>
      </c>
      <c r="D375" s="51" t="str">
        <f ca="1">'Landscape Trees '!E191</f>
        <v>0.25-0.75"</v>
      </c>
      <c r="E375" s="51" t="str">
        <f ca="1">'Landscape Trees '!F191</f>
        <v>1.5-7'</v>
      </c>
      <c r="F375" s="64">
        <f ca="1">'Landscape Trees '!G191</f>
        <v>3</v>
      </c>
      <c r="G375" s="65">
        <f ca="1">'Landscape Trees '!H191</f>
        <v>55</v>
      </c>
      <c r="H375" s="51">
        <f>'Landscape Trees '!I191</f>
        <v>0</v>
      </c>
    </row>
    <row r="376" spans="1:8" ht="12.75" x14ac:dyDescent="0.2">
      <c r="A376" s="51" t="str">
        <f ca="1">'Landscape Trees '!A192</f>
        <v>Quercus x warei 'Regal Prince'</v>
      </c>
      <c r="B376" s="51" t="str">
        <f ca="1">'Landscape Trees '!C192</f>
        <v>Regal Prince Oak</v>
      </c>
      <c r="C376" s="51" t="str">
        <f ca="1">'Landscape Trees '!D192</f>
        <v>#15</v>
      </c>
      <c r="D376" s="51" t="str">
        <f ca="1">'Landscape Trees '!E192</f>
        <v>1-1.75"</v>
      </c>
      <c r="E376" s="51" t="str">
        <f ca="1">'Landscape Trees '!F192</f>
        <v>8-14'</v>
      </c>
      <c r="F376" s="64">
        <f ca="1">'Landscape Trees '!G192</f>
        <v>20</v>
      </c>
      <c r="G376" s="65">
        <f ca="1">'Landscape Trees '!H192</f>
        <v>135</v>
      </c>
      <c r="H376" s="51">
        <f>'Landscape Trees '!I192</f>
        <v>0</v>
      </c>
    </row>
    <row r="377" spans="1:8" ht="12.75" x14ac:dyDescent="0.2">
      <c r="A377" s="51" t="str">
        <f ca="1">'Landscape Trees '!A193</f>
        <v>Quercus x warei 'Regal Prince'</v>
      </c>
      <c r="B377" s="51" t="str">
        <f ca="1">'Landscape Trees '!C193</f>
        <v>Regal Prince Oak</v>
      </c>
      <c r="C377" s="51" t="str">
        <f ca="1">'Landscape Trees '!D193</f>
        <v>#25</v>
      </c>
      <c r="D377" s="51" t="str">
        <f ca="1">'Landscape Trees '!E193</f>
        <v>1.25-1.25"</v>
      </c>
      <c r="E377" s="51" t="str">
        <f ca="1">'Landscape Trees '!F193</f>
        <v>8-9'</v>
      </c>
      <c r="F377" s="64">
        <f ca="1">'Landscape Trees '!G193</f>
        <v>2</v>
      </c>
      <c r="G377" s="65">
        <f ca="1">'Landscape Trees '!H193</f>
        <v>150</v>
      </c>
      <c r="H377" s="51">
        <f>'Landscape Trees '!I193</f>
        <v>0</v>
      </c>
    </row>
    <row r="378" spans="1:8" ht="12.75" x14ac:dyDescent="0.2">
      <c r="A378" s="51" t="str">
        <f ca="1">'Landscape Trees '!A194</f>
        <v>Rhus glabra</v>
      </c>
      <c r="B378" s="51" t="str">
        <f ca="1">'Landscape Trees '!C194</f>
        <v>Smooth Sumac</v>
      </c>
      <c r="C378" s="51" t="str">
        <f ca="1">'Landscape Trees '!D194</f>
        <v>#5</v>
      </c>
      <c r="D378" s="51" t="str">
        <f ca="1">'Landscape Trees '!E194</f>
        <v>0.75-1.25"</v>
      </c>
      <c r="E378" s="51" t="str">
        <f ca="1">'Landscape Trees '!F194</f>
        <v>5-9'</v>
      </c>
      <c r="F378" s="64">
        <f ca="1">'Landscape Trees '!G194</f>
        <v>91</v>
      </c>
      <c r="G378" s="65">
        <f ca="1">'Landscape Trees '!H194</f>
        <v>50</v>
      </c>
      <c r="H378" s="51">
        <f>'Landscape Trees '!I194</f>
        <v>0</v>
      </c>
    </row>
    <row r="379" spans="1:8" ht="12.75" x14ac:dyDescent="0.2">
      <c r="A379" s="51" t="str">
        <f ca="1">'Landscape Trees '!A195</f>
        <v>Rhus typhina</v>
      </c>
      <c r="B379" s="51" t="str">
        <f ca="1">'Landscape Trees '!C195</f>
        <v>Staghorn Sumac</v>
      </c>
      <c r="C379" s="51" t="str">
        <f ca="1">'Landscape Trees '!D195</f>
        <v>#5</v>
      </c>
      <c r="D379" s="51" t="str">
        <f ca="1">'Landscape Trees '!E195</f>
        <v>0.25-1.25"</v>
      </c>
      <c r="E379" s="51" t="str">
        <f ca="1">'Landscape Trees '!F195</f>
        <v>3-7'</v>
      </c>
      <c r="F379" s="64">
        <f ca="1">'Landscape Trees '!G195</f>
        <v>7</v>
      </c>
      <c r="G379" s="65">
        <f ca="1">'Landscape Trees '!H195</f>
        <v>50</v>
      </c>
      <c r="H379" s="51">
        <f>'Landscape Trees '!I195</f>
        <v>0</v>
      </c>
    </row>
    <row r="380" spans="1:8" ht="12.75" x14ac:dyDescent="0.2">
      <c r="A380" s="51" t="str">
        <f ca="1">'Landscape Trees '!A196</f>
        <v>Robinia 'Purple Robe'</v>
      </c>
      <c r="B380" s="51" t="str">
        <f ca="1">'Landscape Trees '!C196</f>
        <v>Purple Robe Black Locust</v>
      </c>
      <c r="C380" s="51" t="str">
        <f ca="1">'Landscape Trees '!D196</f>
        <v>#15</v>
      </c>
      <c r="D380" s="51" t="str">
        <f ca="1">'Landscape Trees '!E196</f>
        <v>1.25-1.5"</v>
      </c>
      <c r="E380" s="51" t="str">
        <f ca="1">'Landscape Trees '!F196</f>
        <v>10-12'</v>
      </c>
      <c r="F380" s="64">
        <f ca="1">'Landscape Trees '!G196</f>
        <v>2</v>
      </c>
      <c r="G380" s="65">
        <f ca="1">'Landscape Trees '!H196</f>
        <v>135</v>
      </c>
      <c r="H380" s="51">
        <f>'Landscape Trees '!I196</f>
        <v>0</v>
      </c>
    </row>
    <row r="381" spans="1:8" ht="12.75" x14ac:dyDescent="0.2">
      <c r="A381" s="51" t="str">
        <f ca="1">'Landscape Trees '!A197</f>
        <v>Salix alba "Tristis"</v>
      </c>
      <c r="B381" s="51" t="str">
        <f ca="1">'Landscape Trees '!C197</f>
        <v>Niobe Golden Willow</v>
      </c>
      <c r="C381" s="51" t="str">
        <f ca="1">'Landscape Trees '!D197</f>
        <v>#15</v>
      </c>
      <c r="D381" s="51" t="str">
        <f ca="1">'Landscape Trees '!E197</f>
        <v>1.25-2.25"</v>
      </c>
      <c r="E381" s="51" t="str">
        <f ca="1">'Landscape Trees '!F197</f>
        <v>10-12'</v>
      </c>
      <c r="F381" s="64">
        <f ca="1">'Landscape Trees '!G197</f>
        <v>21</v>
      </c>
      <c r="G381" s="65">
        <f ca="1">'Landscape Trees '!H197</f>
        <v>135</v>
      </c>
      <c r="H381" s="51">
        <f>'Landscape Trees '!I197</f>
        <v>0</v>
      </c>
    </row>
    <row r="382" spans="1:8" ht="12.75" x14ac:dyDescent="0.2">
      <c r="A382" s="51" t="str">
        <f ca="1">'Landscape Trees '!A198</f>
        <v>Salix babylonica</v>
      </c>
      <c r="B382" s="51" t="str">
        <f ca="1">'Landscape Trees '!C198</f>
        <v>Weeping Willow</v>
      </c>
      <c r="C382" s="51" t="str">
        <f ca="1">'Landscape Trees '!D198</f>
        <v>#5</v>
      </c>
      <c r="D382" s="51" t="str">
        <f ca="1">'Landscape Trees '!E198</f>
        <v>1.25-1.75"</v>
      </c>
      <c r="E382" s="51" t="str">
        <f ca="1">'Landscape Trees '!F198</f>
        <v>10-16'</v>
      </c>
      <c r="F382" s="64">
        <f ca="1">'Landscape Trees '!G198</f>
        <v>8</v>
      </c>
      <c r="G382" s="65">
        <f ca="1">'Landscape Trees '!H198</f>
        <v>50</v>
      </c>
      <c r="H382" s="51">
        <f>'Landscape Trees '!I198</f>
        <v>0</v>
      </c>
    </row>
    <row r="383" spans="1:8" ht="12.75" x14ac:dyDescent="0.2">
      <c r="A383" s="51" t="str">
        <f ca="1">'Landscape Trees '!A199</f>
        <v>Salix babylonica</v>
      </c>
      <c r="B383" s="51" t="str">
        <f ca="1">'Landscape Trees '!C199</f>
        <v>Weeping Willow</v>
      </c>
      <c r="C383" s="51" t="str">
        <f ca="1">'Landscape Trees '!D199</f>
        <v>#7</v>
      </c>
      <c r="D383" s="51" t="str">
        <f ca="1">'Landscape Trees '!E199</f>
        <v>1.25-1.75"</v>
      </c>
      <c r="E383" s="51" t="str">
        <f ca="1">'Landscape Trees '!F199</f>
        <v>10-16'</v>
      </c>
      <c r="F383" s="64">
        <f ca="1">'Landscape Trees '!G199</f>
        <v>31</v>
      </c>
      <c r="G383" s="65">
        <f ca="1">'Landscape Trees '!H199</f>
        <v>60</v>
      </c>
      <c r="H383" s="51">
        <f>'Landscape Trees '!I199</f>
        <v>0</v>
      </c>
    </row>
    <row r="384" spans="1:8" ht="12.75" x14ac:dyDescent="0.2">
      <c r="A384" s="51" t="str">
        <f ca="1">'Landscape Trees '!A200</f>
        <v>Salix babylonica</v>
      </c>
      <c r="B384" s="51" t="str">
        <f ca="1">'Landscape Trees '!C200</f>
        <v>Weeping Willow</v>
      </c>
      <c r="C384" s="51" t="str">
        <f ca="1">'Landscape Trees '!D200</f>
        <v>#15</v>
      </c>
      <c r="D384" s="51" t="str">
        <f ca="1">'Landscape Trees '!E200</f>
        <v>0.75-3"</v>
      </c>
      <c r="E384" s="51" t="str">
        <f ca="1">'Landscape Trees '!F200</f>
        <v>10-13'</v>
      </c>
      <c r="F384" s="64">
        <f ca="1">'Landscape Trees '!G200</f>
        <v>1</v>
      </c>
      <c r="G384" s="65">
        <f ca="1">'Landscape Trees '!H200</f>
        <v>135</v>
      </c>
      <c r="H384" s="51">
        <f>'Landscape Trees '!I200</f>
        <v>0</v>
      </c>
    </row>
    <row r="385" spans="1:8" ht="12.75" x14ac:dyDescent="0.2">
      <c r="A385" s="51" t="str">
        <f ca="1">'Landscape Trees '!A201</f>
        <v>Salix integra 'Hakuro Nishiki'</v>
      </c>
      <c r="B385" s="51" t="str">
        <f ca="1">'Landscape Trees '!C201</f>
        <v>Nishiki Dappled Willow</v>
      </c>
      <c r="C385" s="51" t="str">
        <f ca="1">'Landscape Trees '!D201</f>
        <v>#7</v>
      </c>
      <c r="D385" s="51" t="str">
        <f ca="1">'Landscape Trees '!E201</f>
        <v>0.5-1"</v>
      </c>
      <c r="E385" s="51" t="str">
        <f ca="1">'Landscape Trees '!F201</f>
        <v>3-6'</v>
      </c>
      <c r="F385" s="64">
        <f ca="1">'Landscape Trees '!G201</f>
        <v>9</v>
      </c>
      <c r="G385" s="65">
        <f ca="1">'Landscape Trees '!H201</f>
        <v>80</v>
      </c>
      <c r="H385" s="51">
        <f>'Landscape Trees '!I201</f>
        <v>0</v>
      </c>
    </row>
    <row r="386" spans="1:8" ht="12.75" x14ac:dyDescent="0.2">
      <c r="A386" s="51" t="str">
        <f ca="1">'Landscape Trees '!A202</f>
        <v>Salix pentaphyllum</v>
      </c>
      <c r="B386" s="51" t="str">
        <f ca="1">'Landscape Trees '!C202</f>
        <v>Prairie Cascade Willow</v>
      </c>
      <c r="C386" s="51" t="str">
        <f ca="1">'Landscape Trees '!D202</f>
        <v>#15</v>
      </c>
      <c r="D386" s="51" t="str">
        <f ca="1">'Landscape Trees '!E202</f>
        <v>1.75-2.5"</v>
      </c>
      <c r="E386" s="51" t="str">
        <f ca="1">'Landscape Trees '!F202</f>
        <v>10-16'</v>
      </c>
      <c r="F386" s="64">
        <f ca="1">'Landscape Trees '!G202</f>
        <v>14</v>
      </c>
      <c r="G386" s="65">
        <f ca="1">'Landscape Trees '!H202</f>
        <v>135</v>
      </c>
      <c r="H386" s="51">
        <f>'Landscape Trees '!I202</f>
        <v>0</v>
      </c>
    </row>
    <row r="387" spans="1:8" ht="12.75" x14ac:dyDescent="0.2">
      <c r="A387" s="51" t="str">
        <f ca="1">'Landscape Trees '!A203</f>
        <v>Salix pentaphyllum</v>
      </c>
      <c r="B387" s="51" t="str">
        <f ca="1">'Landscape Trees '!C203</f>
        <v>Prairie Cascade Willow</v>
      </c>
      <c r="C387" s="51" t="str">
        <f ca="1">'Landscape Trees '!D203</f>
        <v>#25</v>
      </c>
      <c r="D387" s="51" t="str">
        <f ca="1">'Landscape Trees '!E203</f>
        <v>2.25-3"</v>
      </c>
      <c r="E387" s="51" t="str">
        <f ca="1">'Landscape Trees '!F203</f>
        <v>14-16'</v>
      </c>
      <c r="F387" s="64">
        <f ca="1">'Landscape Trees '!G203</f>
        <v>3</v>
      </c>
      <c r="G387" s="65">
        <f ca="1">'Landscape Trees '!H203</f>
        <v>150</v>
      </c>
      <c r="H387" s="51">
        <f>'Landscape Trees '!I203</f>
        <v>0</v>
      </c>
    </row>
    <row r="388" spans="1:8" ht="12.75" x14ac:dyDescent="0.2">
      <c r="A388" s="51" t="str">
        <f ca="1">'Landscape Trees '!A204</f>
        <v>Sambucus canadensis</v>
      </c>
      <c r="B388" s="51" t="str">
        <f ca="1">'Landscape Trees '!C204</f>
        <v>Elderberry</v>
      </c>
      <c r="C388" s="51" t="str">
        <f ca="1">'Landscape Trees '!D204</f>
        <v>#5</v>
      </c>
      <c r="D388" s="51" t="str">
        <f ca="1">'Landscape Trees '!E204</f>
        <v>Multi</v>
      </c>
      <c r="E388" s="51" t="str">
        <f ca="1">'Landscape Trees '!F204</f>
        <v>1-5'</v>
      </c>
      <c r="F388" s="64">
        <f ca="1">'Landscape Trees '!G204</f>
        <v>163</v>
      </c>
      <c r="G388" s="65">
        <f ca="1">'Landscape Trees '!H204</f>
        <v>35</v>
      </c>
      <c r="H388" s="51">
        <f>'Landscape Trees '!I204</f>
        <v>0</v>
      </c>
    </row>
    <row r="389" spans="1:8" ht="12.75" x14ac:dyDescent="0.2">
      <c r="A389" s="51" t="str">
        <f ca="1">'Landscape Trees '!A205</f>
        <v>Sambucus canadensis 'Pocahontas'</v>
      </c>
      <c r="B389" s="51" t="str">
        <f ca="1">'Landscape Trees '!C205</f>
        <v>Elderberry - Pocahontas</v>
      </c>
      <c r="C389" s="51" t="str">
        <f ca="1">'Landscape Trees '!D205</f>
        <v>#5</v>
      </c>
      <c r="D389" s="51" t="str">
        <f ca="1">'Landscape Trees '!E205</f>
        <v>Multi</v>
      </c>
      <c r="E389" s="51" t="str">
        <f ca="1">'Landscape Trees '!F205</f>
        <v>1.5-4'</v>
      </c>
      <c r="F389" s="64">
        <f ca="1">'Landscape Trees '!G205</f>
        <v>27</v>
      </c>
      <c r="G389" s="65">
        <f ca="1">'Landscape Trees '!H205</f>
        <v>35</v>
      </c>
      <c r="H389" s="51">
        <f>'Landscape Trees '!I205</f>
        <v>0</v>
      </c>
    </row>
    <row r="390" spans="1:8" ht="12.75" x14ac:dyDescent="0.2">
      <c r="A390" s="51" t="str">
        <f ca="1">'Landscape Trees '!A206</f>
        <v>Sambucus canadensis 'York'</v>
      </c>
      <c r="B390" s="51" t="str">
        <f ca="1">'Landscape Trees '!C206</f>
        <v>Elderberry - York</v>
      </c>
      <c r="C390" s="51" t="str">
        <f ca="1">'Landscape Trees '!D206</f>
        <v>#5</v>
      </c>
      <c r="D390" s="51" t="str">
        <f ca="1">'Landscape Trees '!E206</f>
        <v>Multi</v>
      </c>
      <c r="E390" s="51" t="str">
        <f ca="1">'Landscape Trees '!F206</f>
        <v>3-5'</v>
      </c>
      <c r="F390" s="64">
        <f ca="1">'Landscape Trees '!G206</f>
        <v>141</v>
      </c>
      <c r="G390" s="65">
        <f ca="1">'Landscape Trees '!H206</f>
        <v>35</v>
      </c>
      <c r="H390" s="51">
        <f>'Landscape Trees '!I206</f>
        <v>0</v>
      </c>
    </row>
    <row r="391" spans="1:8" ht="12.75" x14ac:dyDescent="0.2">
      <c r="A391" s="51" t="str">
        <f ca="1">'Landscape Trees '!A207</f>
        <v>Sassafras albidum</v>
      </c>
      <c r="B391" s="51" t="str">
        <f ca="1">'Landscape Trees '!C207</f>
        <v>Sassafras</v>
      </c>
      <c r="C391" s="51" t="str">
        <f ca="1">'Landscape Trees '!D207</f>
        <v>#7</v>
      </c>
      <c r="D391" s="51" t="str">
        <f ca="1">'Landscape Trees '!E207</f>
        <v>0.5-0.75"</v>
      </c>
      <c r="E391" s="51" t="str">
        <f ca="1">'Landscape Trees '!F207</f>
        <v>3-6'</v>
      </c>
      <c r="F391" s="64">
        <f ca="1">'Landscape Trees '!G207</f>
        <v>12</v>
      </c>
      <c r="G391" s="65">
        <f ca="1">'Landscape Trees '!H207</f>
        <v>100</v>
      </c>
      <c r="H391" s="51">
        <f>'Landscape Trees '!I207</f>
        <v>0</v>
      </c>
    </row>
    <row r="392" spans="1:8" ht="12.75" x14ac:dyDescent="0.2">
      <c r="A392" s="51" t="str">
        <f ca="1">'Landscape Trees '!A208</f>
        <v>Stewartia pseudocamellia</v>
      </c>
      <c r="B392" s="51" t="str">
        <f ca="1">'Landscape Trees '!C208</f>
        <v>Japanese Stewartia</v>
      </c>
      <c r="C392" s="51" t="str">
        <f ca="1">'Landscape Trees '!D208</f>
        <v>#5</v>
      </c>
      <c r="D392" s="51" t="str">
        <f ca="1">'Landscape Trees '!E208</f>
        <v>0.5-1.25"</v>
      </c>
      <c r="E392" s="51" t="str">
        <f ca="1">'Landscape Trees '!F208</f>
        <v>5-8'</v>
      </c>
      <c r="F392" s="64">
        <f ca="1">'Landscape Trees '!G208</f>
        <v>22</v>
      </c>
      <c r="G392" s="65">
        <f ca="1">'Landscape Trees '!H208</f>
        <v>70</v>
      </c>
      <c r="H392" s="51">
        <f>'Landscape Trees '!I208</f>
        <v>0</v>
      </c>
    </row>
    <row r="393" spans="1:8" ht="12.75" x14ac:dyDescent="0.2">
      <c r="A393" s="51" t="str">
        <f ca="1">'Landscape Trees '!A209</f>
        <v>Syringa vulgaris</v>
      </c>
      <c r="B393" s="51" t="str">
        <f ca="1">'Landscape Trees '!C209</f>
        <v>Purple Lilac</v>
      </c>
      <c r="C393" s="51" t="str">
        <f ca="1">'Landscape Trees '!D209</f>
        <v>#5</v>
      </c>
      <c r="D393" s="51" t="str">
        <f ca="1">'Landscape Trees '!E209</f>
        <v>0.25-1"</v>
      </c>
      <c r="E393" s="51" t="str">
        <f ca="1">'Landscape Trees '!F209</f>
        <v>1-5'</v>
      </c>
      <c r="F393" s="64">
        <f ca="1">'Landscape Trees '!G209</f>
        <v>9</v>
      </c>
      <c r="G393" s="65">
        <f ca="1">'Landscape Trees '!H209</f>
        <v>37</v>
      </c>
      <c r="H393" s="51">
        <f>'Landscape Trees '!I209</f>
        <v>0</v>
      </c>
    </row>
    <row r="394" spans="1:8" ht="12.75" x14ac:dyDescent="0.2">
      <c r="A394" s="51" t="str">
        <f ca="1">'Landscape Trees '!A210</f>
        <v>Taxodium distichum</v>
      </c>
      <c r="B394" s="51" t="str">
        <f ca="1">'Landscape Trees '!C210</f>
        <v>Bald Cypress</v>
      </c>
      <c r="C394" s="51" t="str">
        <f ca="1">'Landscape Trees '!D210</f>
        <v>#5</v>
      </c>
      <c r="D394" s="51" t="str">
        <f ca="1">'Landscape Trees '!E210</f>
        <v>0.75-1"</v>
      </c>
      <c r="E394" s="51" t="str">
        <f ca="1">'Landscape Trees '!F210</f>
        <v>4-6'</v>
      </c>
      <c r="F394" s="64">
        <f ca="1">'Landscape Trees '!G210</f>
        <v>4</v>
      </c>
      <c r="G394" s="65">
        <f ca="1">'Landscape Trees '!H210</f>
        <v>50</v>
      </c>
      <c r="H394" s="51">
        <f>'Landscape Trees '!I210</f>
        <v>0</v>
      </c>
    </row>
    <row r="395" spans="1:8" ht="12.75" x14ac:dyDescent="0.2">
      <c r="A395" s="51" t="str">
        <f ca="1">'Landscape Trees '!A211</f>
        <v>Taxodium distichum</v>
      </c>
      <c r="B395" s="51" t="str">
        <f ca="1">'Landscape Trees '!C211</f>
        <v>Bald Cypress</v>
      </c>
      <c r="C395" s="51" t="str">
        <f ca="1">'Landscape Trees '!D211</f>
        <v>#15</v>
      </c>
      <c r="D395" s="51" t="str">
        <f ca="1">'Landscape Trees '!E211</f>
        <v>1.5-1.5"</v>
      </c>
      <c r="E395" s="51" t="str">
        <f ca="1">'Landscape Trees '!F211</f>
        <v>7-7'</v>
      </c>
      <c r="F395" s="64">
        <f ca="1">'Landscape Trees '!G211</f>
        <v>1</v>
      </c>
      <c r="G395" s="65">
        <f ca="1">'Landscape Trees '!H211</f>
        <v>135</v>
      </c>
      <c r="H395" s="51">
        <f>'Landscape Trees '!I211</f>
        <v>0</v>
      </c>
    </row>
    <row r="396" spans="1:8" ht="12.75" x14ac:dyDescent="0.2">
      <c r="A396" s="51" t="str">
        <f ca="1">'Landscape Trees '!A212</f>
        <v>Taxodium distichum 'Lindsey's Skyward'</v>
      </c>
      <c r="B396" s="51" t="str">
        <f ca="1">'Landscape Trees '!C212</f>
        <v>Lindsey's Skyward Bald Cypress</v>
      </c>
      <c r="C396" s="51" t="str">
        <f ca="1">'Landscape Trees '!D212</f>
        <v>#10</v>
      </c>
      <c r="D396" s="51" t="str">
        <f ca="1">'Landscape Trees '!E212</f>
        <v>0.75-1.25"</v>
      </c>
      <c r="E396" s="51" t="str">
        <f ca="1">'Landscape Trees '!F212</f>
        <v>5-8'</v>
      </c>
      <c r="F396" s="64">
        <f ca="1">'Landscape Trees '!G212</f>
        <v>17</v>
      </c>
      <c r="G396" s="65">
        <f ca="1">'Landscape Trees '!H212</f>
        <v>100</v>
      </c>
      <c r="H396" s="51">
        <f>'Landscape Trees '!I212</f>
        <v>0</v>
      </c>
    </row>
    <row r="397" spans="1:8" ht="12.75" x14ac:dyDescent="0.2">
      <c r="A397" s="51" t="str">
        <f ca="1">'Landscape Trees '!A213</f>
        <v>Taxodium distichum 'Shawnee Brave'</v>
      </c>
      <c r="B397" s="51" t="str">
        <f ca="1">'Landscape Trees '!C213</f>
        <v>Shawnee Brave Bald Cypress</v>
      </c>
      <c r="C397" s="51" t="str">
        <f ca="1">'Landscape Trees '!D213</f>
        <v>#15</v>
      </c>
      <c r="D397" s="51" t="str">
        <f ca="1">'Landscape Trees '!E213</f>
        <v>0.75-1"</v>
      </c>
      <c r="E397" s="51" t="str">
        <f ca="1">'Landscape Trees '!F213</f>
        <v>5-6'</v>
      </c>
      <c r="F397" s="64">
        <f ca="1">'Landscape Trees '!G213</f>
        <v>21</v>
      </c>
      <c r="G397" s="65">
        <f ca="1">'Landscape Trees '!H213</f>
        <v>135</v>
      </c>
      <c r="H397" s="51">
        <f>'Landscape Trees '!I213</f>
        <v>0</v>
      </c>
    </row>
    <row r="398" spans="1:8" ht="12.75" x14ac:dyDescent="0.2">
      <c r="A398" s="51" t="str">
        <f ca="1">'Landscape Trees '!A214</f>
        <v>Taxus x media</v>
      </c>
      <c r="B398" s="51" t="str">
        <f ca="1">'Landscape Trees '!C214</f>
        <v>Hicksii Yew</v>
      </c>
      <c r="C398" s="51" t="str">
        <f ca="1">'Landscape Trees '!D214</f>
        <v>#3</v>
      </c>
      <c r="D398" s="51" t="str">
        <f ca="1">'Landscape Trees '!E214</f>
        <v>Multi</v>
      </c>
      <c r="E398" s="51" t="str">
        <f ca="1">'Landscape Trees '!F214</f>
        <v>1.5-2'</v>
      </c>
      <c r="F398" s="64">
        <f ca="1">'Landscape Trees '!G214</f>
        <v>3</v>
      </c>
      <c r="G398" s="65">
        <f ca="1">'Landscape Trees '!H214</f>
        <v>35</v>
      </c>
      <c r="H398" s="51">
        <f>'Landscape Trees '!I214</f>
        <v>0</v>
      </c>
    </row>
    <row r="399" spans="1:8" ht="12.75" x14ac:dyDescent="0.2">
      <c r="A399" s="51" t="str">
        <f ca="1">'Landscape Trees '!A215</f>
        <v>Thuja plicata x standishii 'Green Giant'</v>
      </c>
      <c r="B399" s="51" t="str">
        <f ca="1">'Landscape Trees '!C215</f>
        <v>Green Giant Arborvitae</v>
      </c>
      <c r="C399" s="51" t="str">
        <f ca="1">'Landscape Trees '!D215</f>
        <v>#5</v>
      </c>
      <c r="D399" s="51" t="str">
        <f ca="1">'Landscape Trees '!E215</f>
        <v>0.25-0.75"</v>
      </c>
      <c r="E399" s="51" t="str">
        <f ca="1">'Landscape Trees '!F215</f>
        <v>2-4'</v>
      </c>
      <c r="F399" s="64">
        <f ca="1">'Landscape Trees '!G215</f>
        <v>112</v>
      </c>
      <c r="G399" s="65">
        <f ca="1">'Landscape Trees '!H215</f>
        <v>50</v>
      </c>
      <c r="H399" s="51">
        <f>'Landscape Trees '!I215</f>
        <v>0</v>
      </c>
    </row>
    <row r="400" spans="1:8" ht="12.75" x14ac:dyDescent="0.2">
      <c r="A400" s="51" t="str">
        <f ca="1">'Landscape Trees '!A216</f>
        <v>Thuja plicata x standishii 'Green Giant'</v>
      </c>
      <c r="B400" s="51" t="str">
        <f ca="1">'Landscape Trees '!C216</f>
        <v>Green Giant Arborvitae</v>
      </c>
      <c r="C400" s="51" t="str">
        <f ca="1">'Landscape Trees '!D216</f>
        <v>#10</v>
      </c>
      <c r="D400" s="51" t="str">
        <f ca="1">'Landscape Trees '!E216</f>
        <v>1.25-1.75"</v>
      </c>
      <c r="E400" s="51" t="str">
        <f ca="1">'Landscape Trees '!F216</f>
        <v>6-7'</v>
      </c>
      <c r="F400" s="64">
        <f ca="1">'Landscape Trees '!G216</f>
        <v>68</v>
      </c>
      <c r="G400" s="65">
        <f ca="1">'Landscape Trees '!H216</f>
        <v>135</v>
      </c>
      <c r="H400" s="51">
        <f>'Landscape Trees '!I216</f>
        <v>0</v>
      </c>
    </row>
    <row r="401" spans="1:8" ht="12.75" x14ac:dyDescent="0.2">
      <c r="A401" s="51" t="str">
        <f ca="1">'Landscape Trees '!A217</f>
        <v>Tilia americana</v>
      </c>
      <c r="B401" s="51" t="str">
        <f ca="1">'Landscape Trees '!C217</f>
        <v>American Linden</v>
      </c>
      <c r="C401" s="51" t="str">
        <f ca="1">'Landscape Trees '!D217</f>
        <v>#5</v>
      </c>
      <c r="D401" s="51" t="str">
        <f ca="1">'Landscape Trees '!E217</f>
        <v>0.25-1.25"</v>
      </c>
      <c r="E401" s="51" t="str">
        <f ca="1">'Landscape Trees '!F217</f>
        <v>3-8'</v>
      </c>
      <c r="F401" s="64">
        <f ca="1">'Landscape Trees '!G217</f>
        <v>38</v>
      </c>
      <c r="G401" s="65">
        <f ca="1">'Landscape Trees '!H217</f>
        <v>50</v>
      </c>
      <c r="H401" s="51">
        <f>'Landscape Trees '!I217</f>
        <v>0</v>
      </c>
    </row>
    <row r="402" spans="1:8" ht="12.75" x14ac:dyDescent="0.2">
      <c r="A402" s="51" t="str">
        <f ca="1">'Landscape Trees '!A218</f>
        <v>Tilia americana 'American Sentry'</v>
      </c>
      <c r="B402" s="51" t="str">
        <f ca="1">'Landscape Trees '!C218</f>
        <v>American Sentry Linden</v>
      </c>
      <c r="C402" s="51" t="str">
        <f ca="1">'Landscape Trees '!D218</f>
        <v>#15</v>
      </c>
      <c r="D402" s="51" t="str">
        <f ca="1">'Landscape Trees '!E218</f>
        <v>1.25-2"</v>
      </c>
      <c r="E402" s="51" t="str">
        <f ca="1">'Landscape Trees '!F218</f>
        <v>8.5-12'</v>
      </c>
      <c r="F402" s="64">
        <f ca="1">'Landscape Trees '!G218</f>
        <v>1</v>
      </c>
      <c r="G402" s="65">
        <f ca="1">'Landscape Trees '!H218</f>
        <v>135</v>
      </c>
      <c r="H402" s="51">
        <f>'Landscape Trees '!I218</f>
        <v>0</v>
      </c>
    </row>
    <row r="403" spans="1:8" ht="12.75" x14ac:dyDescent="0.2">
      <c r="A403" s="51" t="str">
        <f ca="1">'Landscape Trees '!A219</f>
        <v>Tilia cordata</v>
      </c>
      <c r="B403" s="51" t="str">
        <f ca="1">'Landscape Trees '!C219</f>
        <v>Littleleaf Linden</v>
      </c>
      <c r="C403" s="51" t="str">
        <f ca="1">'Landscape Trees '!D219</f>
        <v>#5</v>
      </c>
      <c r="D403" s="51" t="str">
        <f ca="1">'Landscape Trees '!E219</f>
        <v>0.75-1.5"</v>
      </c>
      <c r="E403" s="51" t="str">
        <f ca="1">'Landscape Trees '!F219</f>
        <v>5-8'</v>
      </c>
      <c r="F403" s="64">
        <f ca="1">'Landscape Trees '!G219</f>
        <v>21</v>
      </c>
      <c r="G403" s="65">
        <f ca="1">'Landscape Trees '!H219</f>
        <v>50</v>
      </c>
      <c r="H403" s="51">
        <f>'Landscape Trees '!I219</f>
        <v>0</v>
      </c>
    </row>
    <row r="404" spans="1:8" ht="12.75" x14ac:dyDescent="0.2">
      <c r="A404" s="51" t="str">
        <f ca="1">'Landscape Trees '!A220</f>
        <v>Tilia tomentosa</v>
      </c>
      <c r="B404" s="51" t="str">
        <f ca="1">'Landscape Trees '!C220</f>
        <v>Silver Linden</v>
      </c>
      <c r="C404" s="51" t="str">
        <f ca="1">'Landscape Trees '!D220</f>
        <v>#5</v>
      </c>
      <c r="D404" s="51" t="str">
        <f ca="1">'Landscape Trees '!E220</f>
        <v>0.5-1.5"</v>
      </c>
      <c r="E404" s="51" t="str">
        <f ca="1">'Landscape Trees '!F220</f>
        <v>3-9'</v>
      </c>
      <c r="F404" s="64">
        <f ca="1">'Landscape Trees '!G220</f>
        <v>39</v>
      </c>
      <c r="G404" s="65">
        <f ca="1">'Landscape Trees '!H220</f>
        <v>50</v>
      </c>
      <c r="H404" s="51">
        <f>'Landscape Trees '!I220</f>
        <v>0</v>
      </c>
    </row>
    <row r="405" spans="1:8" ht="12.75" x14ac:dyDescent="0.2">
      <c r="A405" s="51" t="str">
        <f ca="1">'Landscape Trees '!A221</f>
        <v>Tilia x mongolica 'Harvest Gold'</v>
      </c>
      <c r="B405" s="51" t="str">
        <f ca="1">'Landscape Trees '!C221</f>
        <v>Harvest Gold Linden</v>
      </c>
      <c r="C405" s="51" t="str">
        <f ca="1">'Landscape Trees '!D221</f>
        <v>#15</v>
      </c>
      <c r="D405" s="51" t="str">
        <f ca="1">'Landscape Trees '!E221</f>
        <v>1.25-2.25"</v>
      </c>
      <c r="E405" s="51" t="str">
        <f ca="1">'Landscape Trees '!F221</f>
        <v>8.5-9.5'</v>
      </c>
      <c r="F405" s="64">
        <f ca="1">'Landscape Trees '!G221</f>
        <v>12</v>
      </c>
      <c r="G405" s="65">
        <f ca="1">'Landscape Trees '!H221</f>
        <v>135</v>
      </c>
      <c r="H405" s="51">
        <f>'Landscape Trees '!I221</f>
        <v>0</v>
      </c>
    </row>
    <row r="406" spans="1:8" ht="12.75" x14ac:dyDescent="0.2">
      <c r="A406" s="51" t="str">
        <f ca="1">'Landscape Trees '!A222</f>
        <v>Tsuga canadensis</v>
      </c>
      <c r="B406" s="51" t="str">
        <f ca="1">'Landscape Trees '!C222</f>
        <v>Hemlock</v>
      </c>
      <c r="C406" s="51" t="str">
        <f ca="1">'Landscape Trees '!D222</f>
        <v>#10</v>
      </c>
      <c r="D406" s="51" t="str">
        <f ca="1">'Landscape Trees '!E222</f>
        <v>1.25-1.5"</v>
      </c>
      <c r="E406" s="51" t="str">
        <f ca="1">'Landscape Trees '!F222</f>
        <v>4-5'</v>
      </c>
      <c r="F406" s="64">
        <f ca="1">'Landscape Trees '!G222</f>
        <v>7</v>
      </c>
      <c r="G406" s="65">
        <f ca="1">'Landscape Trees '!H222</f>
        <v>135</v>
      </c>
      <c r="H406" s="51">
        <f>'Landscape Trees '!I222</f>
        <v>0</v>
      </c>
    </row>
    <row r="407" spans="1:8" ht="12.75" x14ac:dyDescent="0.2">
      <c r="A407" s="51" t="str">
        <f ca="1">'Landscape Trees '!A223</f>
        <v>Ulmus americana 'Princeton'</v>
      </c>
      <c r="B407" s="51" t="str">
        <f ca="1">'Landscape Trees '!C223</f>
        <v>Princeton Elm</v>
      </c>
      <c r="C407" s="51" t="str">
        <f ca="1">'Landscape Trees '!D223</f>
        <v>#15</v>
      </c>
      <c r="D407" s="51" t="str">
        <f ca="1">'Landscape Trees '!E223</f>
        <v>1.75-2"</v>
      </c>
      <c r="E407" s="51" t="str">
        <f ca="1">'Landscape Trees '!F223</f>
        <v>13-14'</v>
      </c>
      <c r="F407" s="64">
        <f ca="1">'Landscape Trees '!G223</f>
        <v>2</v>
      </c>
      <c r="G407" s="65">
        <f ca="1">'Landscape Trees '!H223</f>
        <v>135</v>
      </c>
      <c r="H407" s="51">
        <f>'Landscape Trees '!I223</f>
        <v>0</v>
      </c>
    </row>
    <row r="408" spans="1:8" ht="12.75" x14ac:dyDescent="0.2">
      <c r="A408" s="51" t="str">
        <f ca="1">'Landscape Trees '!A224</f>
        <v>Ulmus americana 'Valley Forge'</v>
      </c>
      <c r="B408" s="51" t="str">
        <f ca="1">'Landscape Trees '!C224</f>
        <v>Valley Forge Elm</v>
      </c>
      <c r="C408" s="51" t="str">
        <f ca="1">'Landscape Trees '!D224</f>
        <v>#15</v>
      </c>
      <c r="D408" s="51" t="str">
        <f ca="1">'Landscape Trees '!E224</f>
        <v>1-1.25"</v>
      </c>
      <c r="E408" s="51" t="str">
        <f ca="1">'Landscape Trees '!F224</f>
        <v>10-12'</v>
      </c>
      <c r="F408" s="64">
        <f ca="1">'Landscape Trees '!G224</f>
        <v>1</v>
      </c>
      <c r="G408" s="65">
        <f ca="1">'Landscape Trees '!H224</f>
        <v>135</v>
      </c>
      <c r="H408" s="51">
        <f>'Landscape Trees '!I224</f>
        <v>0</v>
      </c>
    </row>
    <row r="409" spans="1:8" ht="12.75" x14ac:dyDescent="0.2">
      <c r="A409" s="51" t="str">
        <f ca="1">'Landscape Trees '!A225</f>
        <v>Viburnum dentatum</v>
      </c>
      <c r="B409" s="51" t="str">
        <f ca="1">'Landscape Trees '!C225</f>
        <v>Arrowwood Viburnum</v>
      </c>
      <c r="C409" s="51" t="str">
        <f ca="1">'Landscape Trees '!D225</f>
        <v>#5</v>
      </c>
      <c r="D409" s="51" t="str">
        <f ca="1">'Landscape Trees '!E225</f>
        <v>Multi</v>
      </c>
      <c r="E409" s="51" t="str">
        <f ca="1">'Landscape Trees '!F225</f>
        <v>2-5'</v>
      </c>
      <c r="F409" s="64">
        <f ca="1">'Landscape Trees '!G225</f>
        <v>36</v>
      </c>
      <c r="G409" s="65">
        <f ca="1">'Landscape Trees '!H225</f>
        <v>37</v>
      </c>
      <c r="H409" s="51">
        <f>'Landscape Trees '!I225</f>
        <v>0</v>
      </c>
    </row>
    <row r="410" spans="1:8" ht="12.75" x14ac:dyDescent="0.2">
      <c r="A410" s="51" t="str">
        <f ca="1">'Landscape Trees '!A226</f>
        <v>Viburnum trilobum</v>
      </c>
      <c r="B410" s="51" t="str">
        <f ca="1">'Landscape Trees '!C226</f>
        <v>Cranberry Viburnum</v>
      </c>
      <c r="C410" s="51" t="str">
        <f ca="1">'Landscape Trees '!D226</f>
        <v>#5</v>
      </c>
      <c r="D410" s="51" t="str">
        <f ca="1">'Landscape Trees '!E226</f>
        <v>Multi</v>
      </c>
      <c r="E410" s="51" t="str">
        <f ca="1">'Landscape Trees '!F226</f>
        <v>2-4'</v>
      </c>
      <c r="F410" s="64">
        <f ca="1">'Landscape Trees '!G226</f>
        <v>75</v>
      </c>
      <c r="G410" s="65">
        <f ca="1">'Landscape Trees '!H226</f>
        <v>37</v>
      </c>
      <c r="H410" s="51">
        <f>'Landscape Trees '!I226</f>
        <v>0</v>
      </c>
    </row>
    <row r="411" spans="1:8" ht="12.75" x14ac:dyDescent="0.2">
      <c r="A411" s="51" t="str">
        <f ca="1">'Landscape Trees '!A227</f>
        <v>X Gordlinia grandiflora</v>
      </c>
      <c r="B411" s="51" t="str">
        <f ca="1">'Landscape Trees '!C227</f>
        <v>Gordlinia</v>
      </c>
      <c r="C411" s="51" t="str">
        <f ca="1">'Landscape Trees '!D227</f>
        <v>#5</v>
      </c>
      <c r="D411" s="51" t="str">
        <f ca="1">'Landscape Trees '!E227</f>
        <v>0.25-1"</v>
      </c>
      <c r="E411" s="51" t="str">
        <f ca="1">'Landscape Trees '!F227</f>
        <v>2-6.5'</v>
      </c>
      <c r="F411" s="64">
        <f ca="1">'Landscape Trees '!G227</f>
        <v>1</v>
      </c>
      <c r="G411" s="65">
        <f ca="1">'Landscape Trees '!H227</f>
        <v>70</v>
      </c>
      <c r="H411" s="51">
        <f>'Landscape Trees '!I227</f>
        <v>0</v>
      </c>
    </row>
    <row r="412" spans="1:8" ht="12.75" x14ac:dyDescent="0.2">
      <c r="A412" s="51" t="str">
        <f ca="1">'Landscape Trees '!A228</f>
        <v>X Gordlinia grandiflora</v>
      </c>
      <c r="B412" s="51" t="str">
        <f ca="1">'Landscape Trees '!C228</f>
        <v>Gordlinia</v>
      </c>
      <c r="C412" s="51" t="str">
        <f ca="1">'Landscape Trees '!D228</f>
        <v>#5</v>
      </c>
      <c r="D412" s="51" t="str">
        <f ca="1">'Landscape Trees '!E228</f>
        <v>Multi</v>
      </c>
      <c r="E412" s="51" t="str">
        <f ca="1">'Landscape Trees '!F228</f>
        <v>2-6.5'</v>
      </c>
      <c r="F412" s="64">
        <f ca="1">'Landscape Trees '!G228</f>
        <v>3</v>
      </c>
      <c r="G412" s="65">
        <f ca="1">'Landscape Trees '!H228</f>
        <v>70</v>
      </c>
      <c r="H412" s="51">
        <f>'Landscape Trees '!I228</f>
        <v>0</v>
      </c>
    </row>
    <row r="413" spans="1:8" ht="12.75" x14ac:dyDescent="0.2">
      <c r="A413" s="51" t="str">
        <f ca="1">'Landscape Trees '!A229</f>
        <v>Zelkova serrata 'Green Vase'</v>
      </c>
      <c r="B413" s="51" t="str">
        <f ca="1">'Landscape Trees '!C229</f>
        <v>Green Vase Zelkova</v>
      </c>
      <c r="C413" s="51" t="str">
        <f ca="1">'Landscape Trees '!D229</f>
        <v>#15</v>
      </c>
      <c r="D413" s="51" t="str">
        <f ca="1">'Landscape Trees '!E229</f>
        <v>1.25-2.25"</v>
      </c>
      <c r="E413" s="51" t="str">
        <f ca="1">'Landscape Trees '!F229</f>
        <v>11-15'</v>
      </c>
      <c r="F413" s="64">
        <f ca="1">'Landscape Trees '!G229</f>
        <v>5</v>
      </c>
      <c r="G413" s="65">
        <f ca="1">'Landscape Trees '!H229</f>
        <v>135</v>
      </c>
      <c r="H413" s="51">
        <f>'Landscape Trees '!I229</f>
        <v>0</v>
      </c>
    </row>
    <row r="414" spans="1:8" ht="12.75" x14ac:dyDescent="0.2">
      <c r="A414" s="51" t="str">
        <f ca="1">'Landscape Trees '!A230</f>
        <v>Zelkova serrata 'Village Green'</v>
      </c>
      <c r="B414" s="51" t="str">
        <f ca="1">'Landscape Trees '!C230</f>
        <v>Village Green Zelkova</v>
      </c>
      <c r="C414" s="51" t="str">
        <f ca="1">'Landscape Trees '!D230</f>
        <v>#10</v>
      </c>
      <c r="D414" s="51" t="str">
        <f ca="1">'Landscape Trees '!E230</f>
        <v>1.75-2"</v>
      </c>
      <c r="E414" s="51" t="str">
        <f ca="1">'Landscape Trees '!F230</f>
        <v>7-8'</v>
      </c>
      <c r="F414" s="64">
        <f ca="1">'Landscape Trees '!G230</f>
        <v>2</v>
      </c>
      <c r="G414" s="65">
        <f ca="1">'Landscape Trees '!H230</f>
        <v>100</v>
      </c>
      <c r="H414" s="51">
        <f>'Landscape Trees '!I230</f>
        <v>0</v>
      </c>
    </row>
    <row r="415" spans="1:8" ht="12.75" x14ac:dyDescent="0.2">
      <c r="A415" s="51" t="str">
        <f ca="1">'Landscape Trees '!A231</f>
        <v>Zelkova serrata 'Village Green'</v>
      </c>
      <c r="B415" s="51" t="str">
        <f ca="1">'Landscape Trees '!C231</f>
        <v>Village Green Zelkova</v>
      </c>
      <c r="C415" s="51" t="str">
        <f ca="1">'Landscape Trees '!D231</f>
        <v>#15</v>
      </c>
      <c r="D415" s="51" t="str">
        <f ca="1">'Landscape Trees '!E231</f>
        <v>2-2"</v>
      </c>
      <c r="E415" s="51" t="str">
        <f ca="1">'Landscape Trees '!F231</f>
        <v>11-11'</v>
      </c>
      <c r="F415" s="64">
        <f ca="1">'Landscape Trees '!G231</f>
        <v>1</v>
      </c>
      <c r="G415" s="65">
        <f ca="1">'Landscape Trees '!H231</f>
        <v>135</v>
      </c>
      <c r="H415" s="51">
        <f>'Landscape Trees '!I231</f>
        <v>0</v>
      </c>
    </row>
    <row r="416" spans="1:8" ht="12.75" x14ac:dyDescent="0.2">
      <c r="A416" s="51" t="str">
        <f ca="1">'Landscape Trees '!A232</f>
        <v>zx - 1.5"x1.5"x6' Stakes</v>
      </c>
      <c r="B416" s="51" t="str">
        <f ca="1">'Landscape Trees '!C232</f>
        <v>zx - 1.5"x1.5"x6' Stakes</v>
      </c>
      <c r="C416" s="51">
        <f>'Landscape Trees '!D232</f>
        <v>0</v>
      </c>
      <c r="D416" s="51" t="str">
        <f ca="1">'Landscape Trees '!E232</f>
        <v>0-0"</v>
      </c>
      <c r="E416" s="51" t="str">
        <f ca="1">'Landscape Trees '!F232</f>
        <v>0-0'</v>
      </c>
      <c r="F416" s="64">
        <f ca="1">'Landscape Trees '!G232</f>
        <v>2408</v>
      </c>
      <c r="G416" s="65">
        <f ca="1">'Landscape Trees '!H232</f>
        <v>3</v>
      </c>
      <c r="H416" s="51">
        <f>'Landscape Trees '!I232</f>
        <v>0</v>
      </c>
    </row>
    <row r="417" spans="1:8" ht="12.75" x14ac:dyDescent="0.2">
      <c r="A417" s="51" t="str">
        <f ca="1">'Landscape Trees '!A233</f>
        <v>zx - 4' Bark Protector</v>
      </c>
      <c r="B417" s="51" t="str">
        <f ca="1">'Landscape Trees '!C233</f>
        <v>zx - 4' Bark Protector</v>
      </c>
      <c r="C417" s="51">
        <f>'Landscape Trees '!D233</f>
        <v>0</v>
      </c>
      <c r="D417" s="51" t="str">
        <f ca="1">'Landscape Trees '!E233</f>
        <v>0-0"</v>
      </c>
      <c r="E417" s="51" t="str">
        <f ca="1">'Landscape Trees '!F233</f>
        <v>0-0'</v>
      </c>
      <c r="F417" s="64">
        <f ca="1">'Landscape Trees '!G233</f>
        <v>745</v>
      </c>
      <c r="G417" s="65">
        <f ca="1">'Landscape Trees '!H233</f>
        <v>10</v>
      </c>
      <c r="H417" s="51">
        <f>'Landscape Trees '!I233</f>
        <v>0</v>
      </c>
    </row>
    <row r="418" spans="1:8" ht="12.75" x14ac:dyDescent="0.2">
      <c r="A418" s="51" t="str">
        <f ca="1">'Landscape Trees '!A234</f>
        <v>zx - Felco #2 Pruners</v>
      </c>
      <c r="B418" s="51" t="str">
        <f ca="1">'Landscape Trees '!C234</f>
        <v>zx - Felco #2 Pruners</v>
      </c>
      <c r="C418" s="51">
        <f>'Landscape Trees '!D234</f>
        <v>0</v>
      </c>
      <c r="D418" s="51" t="str">
        <f ca="1">'Landscape Trees '!E234</f>
        <v>0-0"</v>
      </c>
      <c r="E418" s="51" t="str">
        <f ca="1">'Landscape Trees '!F234</f>
        <v>0-0'</v>
      </c>
      <c r="F418" s="64">
        <f ca="1">'Landscape Trees '!G234</f>
        <v>49</v>
      </c>
      <c r="G418" s="65">
        <f ca="1">'Landscape Trees '!H234</f>
        <v>65</v>
      </c>
      <c r="H418" s="51">
        <f>'Landscape Trees '!I234</f>
        <v>0</v>
      </c>
    </row>
    <row r="419" spans="1:8" ht="12.75" x14ac:dyDescent="0.2">
      <c r="A419" s="51" t="str">
        <f ca="1">'Landscape Trees '!A235</f>
        <v>zx - Shade Tarp</v>
      </c>
      <c r="B419" s="51" t="str">
        <f ca="1">'Landscape Trees '!C235</f>
        <v>zx -Shade Tarp</v>
      </c>
      <c r="C419" s="51">
        <f>'Landscape Trees '!D235</f>
        <v>0</v>
      </c>
      <c r="D419" s="51" t="str">
        <f ca="1">'Landscape Trees '!E235</f>
        <v>0-0"</v>
      </c>
      <c r="E419" s="51" t="str">
        <f ca="1">'Landscape Trees '!F235</f>
        <v>0-0'</v>
      </c>
      <c r="F419" s="64">
        <f ca="1">'Landscape Trees '!G235</f>
        <v>49</v>
      </c>
      <c r="G419" s="65">
        <f ca="1">'Landscape Trees '!H235</f>
        <v>30</v>
      </c>
      <c r="H419" s="51">
        <f>'Landscape Trees '!I235</f>
        <v>0</v>
      </c>
    </row>
    <row r="420" spans="1:8" ht="12.75" x14ac:dyDescent="0.2">
      <c r="A420" s="51" t="str">
        <f ca="1">'Landscape Trees '!A236</f>
        <v>zx - Tree Diaper (for #10-#25)</v>
      </c>
      <c r="B420" s="51" t="str">
        <f ca="1">'Landscape Trees '!C236</f>
        <v>zx - Tree Diaper (for #10-#25)</v>
      </c>
      <c r="C420" s="51">
        <f>'Landscape Trees '!D236</f>
        <v>0</v>
      </c>
      <c r="D420" s="51" t="str">
        <f ca="1">'Landscape Trees '!E236</f>
        <v>0-0"</v>
      </c>
      <c r="E420" s="51" t="str">
        <f ca="1">'Landscape Trees '!F236</f>
        <v>0-0'</v>
      </c>
      <c r="F420" s="64">
        <f ca="1">'Landscape Trees '!G236</f>
        <v>91</v>
      </c>
      <c r="G420" s="65">
        <f ca="1">'Landscape Trees '!H236</f>
        <v>40</v>
      </c>
      <c r="H420" s="51">
        <f>'Landscape Trees '!I236</f>
        <v>0</v>
      </c>
    </row>
    <row r="421" spans="1:8" ht="12.75" x14ac:dyDescent="0.2">
      <c r="A421" s="51" t="str">
        <f ca="1">'Landscape Trees '!A237</f>
        <v>zx -Cages</v>
      </c>
      <c r="B421" s="51" t="str">
        <f ca="1">'Landscape Trees '!C237</f>
        <v>zx -Cages</v>
      </c>
      <c r="C421" s="51">
        <f>'Landscape Trees '!D237</f>
        <v>0</v>
      </c>
      <c r="D421" s="51" t="str">
        <f ca="1">'Landscape Trees '!E237</f>
        <v>0-0"</v>
      </c>
      <c r="E421" s="51" t="str">
        <f ca="1">'Landscape Trees '!F237</f>
        <v>0-0'</v>
      </c>
      <c r="F421" s="64">
        <f ca="1">'Landscape Trees '!G237</f>
        <v>934</v>
      </c>
      <c r="G421" s="65">
        <f ca="1">'Landscape Trees '!H237</f>
        <v>45</v>
      </c>
      <c r="H421" s="51">
        <f>'Landscape Trees '!I237</f>
        <v>0</v>
      </c>
    </row>
    <row r="422" spans="1:8" ht="12.75" x14ac:dyDescent="0.2">
      <c r="A422" s="51">
        <f>'Landscape Trees '!A238</f>
        <v>0</v>
      </c>
      <c r="B422" s="51">
        <f>'Landscape Trees '!C238</f>
        <v>0</v>
      </c>
      <c r="C422" s="51">
        <f>'Landscape Trees '!D238</f>
        <v>0</v>
      </c>
      <c r="D422" s="51">
        <f>'Landscape Trees '!E238</f>
        <v>0</v>
      </c>
      <c r="E422" s="51">
        <f>'Landscape Trees '!F238</f>
        <v>0</v>
      </c>
      <c r="F422" s="51">
        <f>'Landscape Trees '!G238</f>
        <v>0</v>
      </c>
      <c r="G422" s="51">
        <f>'Landscape Trees '!H238</f>
        <v>0</v>
      </c>
      <c r="H422" s="51">
        <f>'Landscape Trees '!I238</f>
        <v>0</v>
      </c>
    </row>
    <row r="423" spans="1:8" ht="12.75" x14ac:dyDescent="0.2">
      <c r="A423" s="51">
        <f>'Landscape Trees '!A239</f>
        <v>0</v>
      </c>
      <c r="B423" s="51">
        <f>'Landscape Trees '!C239</f>
        <v>0</v>
      </c>
      <c r="C423" s="51">
        <f>'Landscape Trees '!D239</f>
        <v>0</v>
      </c>
      <c r="D423" s="51">
        <f>'Landscape Trees '!E239</f>
        <v>0</v>
      </c>
      <c r="E423" s="51">
        <f>'Landscape Trees '!F239</f>
        <v>0</v>
      </c>
      <c r="F423" s="51">
        <f>'Landscape Trees '!G239</f>
        <v>0</v>
      </c>
      <c r="G423" s="51">
        <f>'Landscape Trees '!H239</f>
        <v>0</v>
      </c>
      <c r="H423" s="51">
        <f>'Landscape Trees '!I239</f>
        <v>0</v>
      </c>
    </row>
    <row r="424" spans="1:8" ht="12.75" x14ac:dyDescent="0.2">
      <c r="A424" s="51">
        <f>'Landscape Trees '!A240</f>
        <v>0</v>
      </c>
      <c r="B424" s="51">
        <f>'Landscape Trees '!C240</f>
        <v>0</v>
      </c>
      <c r="C424" s="51">
        <f>'Landscape Trees '!D240</f>
        <v>0</v>
      </c>
      <c r="D424" s="51">
        <f>'Landscape Trees '!E240</f>
        <v>0</v>
      </c>
      <c r="E424" s="51">
        <f>'Landscape Trees '!F240</f>
        <v>0</v>
      </c>
      <c r="F424" s="51">
        <f>'Landscape Trees '!G240</f>
        <v>0</v>
      </c>
      <c r="G424" s="51">
        <f>'Landscape Trees '!H240</f>
        <v>0</v>
      </c>
      <c r="H424" s="51">
        <f>'Landscape Trees '!I240</f>
        <v>0</v>
      </c>
    </row>
    <row r="425" spans="1:8" ht="12.75" x14ac:dyDescent="0.2">
      <c r="A425" s="51">
        <f>'Landscape Trees '!A241</f>
        <v>0</v>
      </c>
      <c r="B425" s="51">
        <f>'Landscape Trees '!C241</f>
        <v>0</v>
      </c>
      <c r="C425" s="51">
        <f>'Landscape Trees '!D241</f>
        <v>0</v>
      </c>
      <c r="D425" s="51">
        <f>'Landscape Trees '!E241</f>
        <v>0</v>
      </c>
      <c r="E425" s="51">
        <f>'Landscape Trees '!F241</f>
        <v>0</v>
      </c>
      <c r="F425" s="51">
        <f>'Landscape Trees '!G241</f>
        <v>0</v>
      </c>
      <c r="G425" s="51">
        <f>'Landscape Trees '!H241</f>
        <v>0</v>
      </c>
      <c r="H425" s="51">
        <f>'Landscape Trees '!I241</f>
        <v>0</v>
      </c>
    </row>
    <row r="426" spans="1:8" ht="12.75" x14ac:dyDescent="0.2">
      <c r="A426" s="51">
        <f>'Landscape Trees '!A242</f>
        <v>0</v>
      </c>
      <c r="B426" s="51">
        <f>'Landscape Trees '!C242</f>
        <v>0</v>
      </c>
      <c r="C426" s="51">
        <f>'Landscape Trees '!D242</f>
        <v>0</v>
      </c>
      <c r="D426" s="51">
        <f>'Landscape Trees '!E242</f>
        <v>0</v>
      </c>
      <c r="E426" s="51">
        <f>'Landscape Trees '!F242</f>
        <v>0</v>
      </c>
      <c r="F426" s="51">
        <f>'Landscape Trees '!G242</f>
        <v>0</v>
      </c>
      <c r="G426" s="51">
        <f>'Landscape Trees '!H242</f>
        <v>0</v>
      </c>
      <c r="H426" s="51">
        <f>'Landscape Trees '!I242</f>
        <v>0</v>
      </c>
    </row>
    <row r="427" spans="1:8" ht="12.75" x14ac:dyDescent="0.2">
      <c r="A427" s="51">
        <f>'Landscape Trees '!A243</f>
        <v>0</v>
      </c>
      <c r="B427" s="51">
        <f>'Landscape Trees '!C243</f>
        <v>0</v>
      </c>
      <c r="C427" s="51">
        <f>'Landscape Trees '!D243</f>
        <v>0</v>
      </c>
      <c r="D427" s="51">
        <f>'Landscape Trees '!E243</f>
        <v>0</v>
      </c>
      <c r="E427" s="51">
        <f>'Landscape Trees '!F243</f>
        <v>0</v>
      </c>
      <c r="F427" s="51">
        <f>'Landscape Trees '!G243</f>
        <v>0</v>
      </c>
      <c r="G427" s="51">
        <f>'Landscape Trees '!H243</f>
        <v>0</v>
      </c>
      <c r="H427" s="51">
        <f>'Landscape Trees '!I243</f>
        <v>0</v>
      </c>
    </row>
    <row r="428" spans="1:8" ht="12.75" x14ac:dyDescent="0.2">
      <c r="A428" s="51">
        <f>'Landscape Trees '!A244</f>
        <v>0</v>
      </c>
      <c r="B428" s="51">
        <f>'Landscape Trees '!C244</f>
        <v>0</v>
      </c>
      <c r="C428" s="51">
        <f>'Landscape Trees '!D244</f>
        <v>0</v>
      </c>
      <c r="D428" s="51">
        <f>'Landscape Trees '!E244</f>
        <v>0</v>
      </c>
      <c r="E428" s="51">
        <f>'Landscape Trees '!F244</f>
        <v>0</v>
      </c>
      <c r="F428" s="51">
        <f>'Landscape Trees '!G244</f>
        <v>0</v>
      </c>
      <c r="G428" s="51">
        <f>'Landscape Trees '!H244</f>
        <v>0</v>
      </c>
      <c r="H428" s="51">
        <f>'Landscape Trees '!I244</f>
        <v>0</v>
      </c>
    </row>
    <row r="429" spans="1:8" ht="12.75" x14ac:dyDescent="0.2">
      <c r="A429" s="51">
        <f>'Landscape Trees '!A245</f>
        <v>0</v>
      </c>
      <c r="B429" s="51">
        <f>'Landscape Trees '!C245</f>
        <v>0</v>
      </c>
      <c r="C429" s="51">
        <f>'Landscape Trees '!D245</f>
        <v>0</v>
      </c>
      <c r="D429" s="51">
        <f>'Landscape Trees '!E245</f>
        <v>0</v>
      </c>
      <c r="E429" s="51">
        <f>'Landscape Trees '!F245</f>
        <v>0</v>
      </c>
      <c r="F429" s="51">
        <f>'Landscape Trees '!G245</f>
        <v>0</v>
      </c>
      <c r="G429" s="51">
        <f>'Landscape Trees '!H245</f>
        <v>0</v>
      </c>
      <c r="H429" s="51">
        <f>'Landscape Trees '!I245</f>
        <v>0</v>
      </c>
    </row>
    <row r="430" spans="1:8" ht="12.75" x14ac:dyDescent="0.2">
      <c r="A430" s="51">
        <f>'Landscape Trees '!A246</f>
        <v>0</v>
      </c>
      <c r="B430" s="51">
        <f>'Landscape Trees '!C246</f>
        <v>0</v>
      </c>
      <c r="C430" s="51">
        <f>'Landscape Trees '!D246</f>
        <v>0</v>
      </c>
      <c r="D430" s="51">
        <f>'Landscape Trees '!E246</f>
        <v>0</v>
      </c>
      <c r="E430" s="51">
        <f>'Landscape Trees '!F246</f>
        <v>0</v>
      </c>
      <c r="F430" s="51">
        <f>'Landscape Trees '!G246</f>
        <v>0</v>
      </c>
      <c r="G430" s="51">
        <f>'Landscape Trees '!H246</f>
        <v>0</v>
      </c>
      <c r="H430" s="51">
        <f>'Landscape Trees '!I246</f>
        <v>0</v>
      </c>
    </row>
    <row r="431" spans="1:8" ht="12.75" x14ac:dyDescent="0.2">
      <c r="A431" s="51">
        <f>'Landscape Trees '!A247</f>
        <v>0</v>
      </c>
      <c r="B431" s="51">
        <f>'Landscape Trees '!C247</f>
        <v>0</v>
      </c>
      <c r="C431" s="51">
        <f>'Landscape Trees '!D247</f>
        <v>0</v>
      </c>
      <c r="D431" s="51">
        <f>'Landscape Trees '!E247</f>
        <v>0</v>
      </c>
      <c r="E431" s="51">
        <f>'Landscape Trees '!F247</f>
        <v>0</v>
      </c>
      <c r="F431" s="51">
        <f>'Landscape Trees '!G247</f>
        <v>0</v>
      </c>
      <c r="G431" s="51">
        <f>'Landscape Trees '!H247</f>
        <v>0</v>
      </c>
      <c r="H431" s="51">
        <f>'Landscape Trees '!I247</f>
        <v>0</v>
      </c>
    </row>
    <row r="432" spans="1:8" ht="12.75" x14ac:dyDescent="0.2">
      <c r="A432" s="51">
        <f>'Landscape Trees '!A248</f>
        <v>0</v>
      </c>
      <c r="B432" s="51">
        <f>'Landscape Trees '!C248</f>
        <v>0</v>
      </c>
      <c r="C432" s="51">
        <f>'Landscape Trees '!D248</f>
        <v>0</v>
      </c>
      <c r="D432" s="51">
        <f>'Landscape Trees '!E248</f>
        <v>0</v>
      </c>
      <c r="E432" s="51">
        <f>'Landscape Trees '!F248</f>
        <v>0</v>
      </c>
      <c r="F432" s="51">
        <f>'Landscape Trees '!G248</f>
        <v>0</v>
      </c>
      <c r="G432" s="51">
        <f>'Landscape Trees '!H248</f>
        <v>0</v>
      </c>
      <c r="H432" s="51">
        <f>'Landscape Trees '!I248</f>
        <v>0</v>
      </c>
    </row>
    <row r="433" spans="1:8" ht="12.75" x14ac:dyDescent="0.2">
      <c r="A433" s="51">
        <f>'Landscape Trees '!A249</f>
        <v>0</v>
      </c>
      <c r="B433" s="51">
        <f>'Landscape Trees '!C249</f>
        <v>0</v>
      </c>
      <c r="C433" s="51">
        <f>'Landscape Trees '!D249</f>
        <v>0</v>
      </c>
      <c r="D433" s="51">
        <f>'Landscape Trees '!E249</f>
        <v>0</v>
      </c>
      <c r="E433" s="51">
        <f>'Landscape Trees '!F249</f>
        <v>0</v>
      </c>
      <c r="F433" s="51">
        <f>'Landscape Trees '!G249</f>
        <v>0</v>
      </c>
      <c r="G433" s="51">
        <f>'Landscape Trees '!H249</f>
        <v>0</v>
      </c>
      <c r="H433" s="51">
        <f>'Landscape Trees '!I249</f>
        <v>0</v>
      </c>
    </row>
    <row r="434" spans="1:8" ht="12.75" x14ac:dyDescent="0.2">
      <c r="A434" s="51">
        <f>'Landscape Trees '!A250</f>
        <v>0</v>
      </c>
      <c r="B434" s="51">
        <f>'Landscape Trees '!C250</f>
        <v>0</v>
      </c>
      <c r="C434" s="51">
        <f>'Landscape Trees '!D250</f>
        <v>0</v>
      </c>
      <c r="D434" s="51">
        <f>'Landscape Trees '!E250</f>
        <v>0</v>
      </c>
      <c r="E434" s="51">
        <f>'Landscape Trees '!F250</f>
        <v>0</v>
      </c>
      <c r="F434" s="51">
        <f>'Landscape Trees '!G250</f>
        <v>0</v>
      </c>
      <c r="G434" s="51">
        <f>'Landscape Trees '!H250</f>
        <v>0</v>
      </c>
      <c r="H434" s="51">
        <f>'Landscape Trees '!I250</f>
        <v>0</v>
      </c>
    </row>
    <row r="435" spans="1:8" ht="12.75" x14ac:dyDescent="0.2">
      <c r="A435" s="51">
        <f>'Landscape Trees '!A251</f>
        <v>0</v>
      </c>
      <c r="B435" s="51">
        <f>'Landscape Trees '!C251</f>
        <v>0</v>
      </c>
      <c r="C435" s="51">
        <f>'Landscape Trees '!D251</f>
        <v>0</v>
      </c>
      <c r="D435" s="51">
        <f>'Landscape Trees '!E251</f>
        <v>0</v>
      </c>
      <c r="E435" s="51">
        <f>'Landscape Trees '!F251</f>
        <v>0</v>
      </c>
      <c r="F435" s="51">
        <f>'Landscape Trees '!G251</f>
        <v>0</v>
      </c>
      <c r="G435" s="51">
        <f>'Landscape Trees '!H251</f>
        <v>0</v>
      </c>
      <c r="H435" s="51">
        <f>'Landscape Trees '!I251</f>
        <v>0</v>
      </c>
    </row>
    <row r="436" spans="1:8" ht="12.75" x14ac:dyDescent="0.2">
      <c r="A436" s="51">
        <f>'Landscape Trees '!A252</f>
        <v>0</v>
      </c>
      <c r="B436" s="51">
        <f>'Landscape Trees '!C252</f>
        <v>0</v>
      </c>
      <c r="C436" s="51">
        <f>'Landscape Trees '!D252</f>
        <v>0</v>
      </c>
      <c r="D436" s="51">
        <f>'Landscape Trees '!E252</f>
        <v>0</v>
      </c>
      <c r="E436" s="51">
        <f>'Landscape Trees '!F252</f>
        <v>0</v>
      </c>
      <c r="F436" s="51">
        <f>'Landscape Trees '!G252</f>
        <v>0</v>
      </c>
      <c r="G436" s="51">
        <f>'Landscape Trees '!H252</f>
        <v>0</v>
      </c>
      <c r="H436" s="51">
        <f>'Landscape Trees '!I252</f>
        <v>0</v>
      </c>
    </row>
    <row r="437" spans="1:8" ht="12.75" x14ac:dyDescent="0.2">
      <c r="A437" s="51">
        <f>'Landscape Trees '!A253</f>
        <v>0</v>
      </c>
      <c r="B437" s="51">
        <f>'Landscape Trees '!C253</f>
        <v>0</v>
      </c>
      <c r="C437" s="51">
        <f>'Landscape Trees '!D253</f>
        <v>0</v>
      </c>
      <c r="D437" s="51">
        <f>'Landscape Trees '!E253</f>
        <v>0</v>
      </c>
      <c r="E437" s="51">
        <f>'Landscape Trees '!F253</f>
        <v>0</v>
      </c>
      <c r="F437" s="51">
        <f>'Landscape Trees '!G253</f>
        <v>0</v>
      </c>
      <c r="G437" s="51">
        <f>'Landscape Trees '!H253</f>
        <v>0</v>
      </c>
      <c r="H437" s="51">
        <f>'Landscape Trees '!I253</f>
        <v>0</v>
      </c>
    </row>
    <row r="438" spans="1:8" ht="12.75" x14ac:dyDescent="0.2">
      <c r="A438" s="51">
        <f>'Landscape Trees '!A254</f>
        <v>0</v>
      </c>
      <c r="B438" s="51">
        <f>'Landscape Trees '!C254</f>
        <v>0</v>
      </c>
      <c r="C438" s="51">
        <f>'Landscape Trees '!D254</f>
        <v>0</v>
      </c>
      <c r="D438" s="51">
        <f>'Landscape Trees '!E254</f>
        <v>0</v>
      </c>
      <c r="E438" s="51">
        <f>'Landscape Trees '!F254</f>
        <v>0</v>
      </c>
      <c r="F438" s="51">
        <f>'Landscape Trees '!G254</f>
        <v>0</v>
      </c>
      <c r="G438" s="51">
        <f>'Landscape Trees '!H254</f>
        <v>0</v>
      </c>
      <c r="H438" s="51">
        <f>'Landscape Trees '!I254</f>
        <v>0</v>
      </c>
    </row>
    <row r="439" spans="1:8" ht="12.75" x14ac:dyDescent="0.2">
      <c r="A439" s="51">
        <f>'Landscape Trees '!A255</f>
        <v>0</v>
      </c>
      <c r="B439" s="51">
        <f>'Landscape Trees '!C255</f>
        <v>0</v>
      </c>
      <c r="C439" s="51">
        <f>'Landscape Trees '!D255</f>
        <v>0</v>
      </c>
      <c r="D439" s="51">
        <f>'Landscape Trees '!E255</f>
        <v>0</v>
      </c>
      <c r="E439" s="51">
        <f>'Landscape Trees '!F255</f>
        <v>0</v>
      </c>
      <c r="F439" s="51">
        <f>'Landscape Trees '!G255</f>
        <v>0</v>
      </c>
      <c r="G439" s="51">
        <f>'Landscape Trees '!H255</f>
        <v>0</v>
      </c>
      <c r="H439" s="51">
        <f>'Landscape Trees '!I255</f>
        <v>0</v>
      </c>
    </row>
    <row r="440" spans="1:8" ht="12.75" x14ac:dyDescent="0.2">
      <c r="A440" s="51">
        <f>'Landscape Trees '!A256</f>
        <v>0</v>
      </c>
      <c r="B440" s="51">
        <f>'Landscape Trees '!C256</f>
        <v>0</v>
      </c>
      <c r="C440" s="51">
        <f>'Landscape Trees '!D256</f>
        <v>0</v>
      </c>
      <c r="D440" s="51">
        <f>'Landscape Trees '!E256</f>
        <v>0</v>
      </c>
      <c r="E440" s="51">
        <f>'Landscape Trees '!F256</f>
        <v>0</v>
      </c>
      <c r="F440" s="51">
        <f>'Landscape Trees '!G256</f>
        <v>0</v>
      </c>
      <c r="G440" s="51">
        <f>'Landscape Trees '!H256</f>
        <v>0</v>
      </c>
      <c r="H440" s="51">
        <f>'Landscape Trees '!I256</f>
        <v>0</v>
      </c>
    </row>
    <row r="441" spans="1:8" ht="12.75" x14ac:dyDescent="0.2">
      <c r="A441" s="51">
        <f>'Landscape Trees '!A257</f>
        <v>0</v>
      </c>
      <c r="B441" s="51">
        <f>'Landscape Trees '!C257</f>
        <v>0</v>
      </c>
      <c r="C441" s="51">
        <f>'Landscape Trees '!D257</f>
        <v>0</v>
      </c>
      <c r="D441" s="51">
        <f>'Landscape Trees '!E257</f>
        <v>0</v>
      </c>
      <c r="E441" s="51">
        <f>'Landscape Trees '!F257</f>
        <v>0</v>
      </c>
      <c r="F441" s="51">
        <f>'Landscape Trees '!G257</f>
        <v>0</v>
      </c>
      <c r="G441" s="51">
        <f>'Landscape Trees '!H257</f>
        <v>0</v>
      </c>
      <c r="H441" s="51">
        <f>'Landscape Trees '!I257</f>
        <v>0</v>
      </c>
    </row>
    <row r="442" spans="1:8" ht="12.75" x14ac:dyDescent="0.2">
      <c r="A442" s="51">
        <f>'Landscape Trees '!A258</f>
        <v>0</v>
      </c>
      <c r="B442" s="51">
        <f>'Landscape Trees '!C258</f>
        <v>0</v>
      </c>
      <c r="C442" s="51">
        <f>'Landscape Trees '!D258</f>
        <v>0</v>
      </c>
      <c r="D442" s="51">
        <f>'Landscape Trees '!E258</f>
        <v>0</v>
      </c>
      <c r="E442" s="51">
        <f>'Landscape Trees '!F258</f>
        <v>0</v>
      </c>
      <c r="F442" s="51">
        <f>'Landscape Trees '!G258</f>
        <v>0</v>
      </c>
      <c r="G442" s="51">
        <f>'Landscape Trees '!H258</f>
        <v>0</v>
      </c>
      <c r="H442" s="51">
        <f>'Landscape Trees '!I258</f>
        <v>0</v>
      </c>
    </row>
    <row r="443" spans="1:8" ht="12.75" x14ac:dyDescent="0.2">
      <c r="A443" s="51">
        <f>'Landscape Trees '!A259</f>
        <v>0</v>
      </c>
      <c r="B443" s="51">
        <f>'Landscape Trees '!C259</f>
        <v>0</v>
      </c>
      <c r="C443" s="51">
        <f>'Landscape Trees '!D259</f>
        <v>0</v>
      </c>
      <c r="D443" s="51">
        <f>'Landscape Trees '!E259</f>
        <v>0</v>
      </c>
      <c r="E443" s="51">
        <f>'Landscape Trees '!F259</f>
        <v>0</v>
      </c>
      <c r="F443" s="51">
        <f>'Landscape Trees '!G259</f>
        <v>0</v>
      </c>
      <c r="G443" s="51">
        <f>'Landscape Trees '!H259</f>
        <v>0</v>
      </c>
      <c r="H443" s="51">
        <f>'Landscape Trees '!I259</f>
        <v>0</v>
      </c>
    </row>
    <row r="444" spans="1:8" ht="12.75" x14ac:dyDescent="0.2">
      <c r="A444" s="51">
        <f>'Landscape Trees '!A260</f>
        <v>0</v>
      </c>
      <c r="B444" s="51">
        <f>'Landscape Trees '!C260</f>
        <v>0</v>
      </c>
      <c r="C444" s="51">
        <f>'Landscape Trees '!D260</f>
        <v>0</v>
      </c>
      <c r="D444" s="51">
        <f>'Landscape Trees '!E260</f>
        <v>0</v>
      </c>
      <c r="E444" s="51">
        <f>'Landscape Trees '!F260</f>
        <v>0</v>
      </c>
      <c r="F444" s="51">
        <f>'Landscape Trees '!G260</f>
        <v>0</v>
      </c>
      <c r="G444" s="51">
        <f>'Landscape Trees '!H260</f>
        <v>0</v>
      </c>
      <c r="H444" s="51">
        <f>'Landscape Trees '!I260</f>
        <v>0</v>
      </c>
    </row>
    <row r="445" spans="1:8" ht="12.75" x14ac:dyDescent="0.2">
      <c r="A445" s="51">
        <f>'Landscape Trees '!A261</f>
        <v>0</v>
      </c>
      <c r="B445" s="51">
        <f>'Landscape Trees '!C261</f>
        <v>0</v>
      </c>
      <c r="C445" s="51">
        <f>'Landscape Trees '!D261</f>
        <v>0</v>
      </c>
      <c r="D445" s="51">
        <f>'Landscape Trees '!E261</f>
        <v>0</v>
      </c>
      <c r="E445" s="51">
        <f>'Landscape Trees '!F261</f>
        <v>0</v>
      </c>
      <c r="F445" s="51">
        <f>'Landscape Trees '!G261</f>
        <v>0</v>
      </c>
      <c r="G445" s="51">
        <f>'Landscape Trees '!H261</f>
        <v>0</v>
      </c>
      <c r="H445" s="51">
        <f>'Landscape Trees '!I261</f>
        <v>0</v>
      </c>
    </row>
    <row r="446" spans="1:8" ht="12.75" x14ac:dyDescent="0.2">
      <c r="A446" s="51">
        <f>'Landscape Trees '!A262</f>
        <v>0</v>
      </c>
      <c r="B446" s="51">
        <f>'Landscape Trees '!C262</f>
        <v>0</v>
      </c>
      <c r="C446" s="51">
        <f>'Landscape Trees '!D262</f>
        <v>0</v>
      </c>
      <c r="D446" s="51">
        <f>'Landscape Trees '!E262</f>
        <v>0</v>
      </c>
      <c r="E446" s="51">
        <f>'Landscape Trees '!F262</f>
        <v>0</v>
      </c>
      <c r="F446" s="51">
        <f>'Landscape Trees '!G262</f>
        <v>0</v>
      </c>
      <c r="G446" s="51">
        <f>'Landscape Trees '!H262</f>
        <v>0</v>
      </c>
      <c r="H446" s="51">
        <f>'Landscape Trees '!I262</f>
        <v>0</v>
      </c>
    </row>
    <row r="447" spans="1:8" ht="12.75" x14ac:dyDescent="0.2">
      <c r="A447" s="51">
        <f>'Landscape Trees '!A263</f>
        <v>0</v>
      </c>
      <c r="B447" s="51">
        <f>'Landscape Trees '!C263</f>
        <v>0</v>
      </c>
      <c r="C447" s="51">
        <f>'Landscape Trees '!D263</f>
        <v>0</v>
      </c>
      <c r="D447" s="51">
        <f>'Landscape Trees '!E263</f>
        <v>0</v>
      </c>
      <c r="E447" s="51">
        <f>'Landscape Trees '!F263</f>
        <v>0</v>
      </c>
      <c r="F447" s="51">
        <f>'Landscape Trees '!G263</f>
        <v>0</v>
      </c>
      <c r="G447" s="51">
        <f>'Landscape Trees '!H263</f>
        <v>0</v>
      </c>
      <c r="H447" s="51">
        <f>'Landscape Trees '!I263</f>
        <v>0</v>
      </c>
    </row>
    <row r="448" spans="1:8" ht="12.75" x14ac:dyDescent="0.2">
      <c r="A448" s="51">
        <f>'Landscape Trees '!A264</f>
        <v>0</v>
      </c>
      <c r="B448" s="51">
        <f>'Landscape Trees '!C264</f>
        <v>0</v>
      </c>
      <c r="C448" s="51">
        <f>'Landscape Trees '!D264</f>
        <v>0</v>
      </c>
      <c r="D448" s="51">
        <f>'Landscape Trees '!E264</f>
        <v>0</v>
      </c>
      <c r="E448" s="51">
        <f>'Landscape Trees '!F264</f>
        <v>0</v>
      </c>
      <c r="F448" s="51">
        <f>'Landscape Trees '!G264</f>
        <v>0</v>
      </c>
      <c r="G448" s="51">
        <f>'Landscape Trees '!H264</f>
        <v>0</v>
      </c>
      <c r="H448" s="51">
        <f>'Landscape Trees '!I264</f>
        <v>0</v>
      </c>
    </row>
    <row r="449" spans="1:8" ht="12.75" x14ac:dyDescent="0.2">
      <c r="A449" s="51">
        <f>'Landscape Trees '!A265</f>
        <v>0</v>
      </c>
      <c r="B449" s="51">
        <f>'Landscape Trees '!C265</f>
        <v>0</v>
      </c>
      <c r="C449" s="51">
        <f>'Landscape Trees '!D265</f>
        <v>0</v>
      </c>
      <c r="D449" s="51">
        <f>'Landscape Trees '!E265</f>
        <v>0</v>
      </c>
      <c r="E449" s="51">
        <f>'Landscape Trees '!F265</f>
        <v>0</v>
      </c>
      <c r="F449" s="51">
        <f>'Landscape Trees '!G265</f>
        <v>0</v>
      </c>
      <c r="G449" s="51">
        <f>'Landscape Trees '!H265</f>
        <v>0</v>
      </c>
      <c r="H449" s="51">
        <f>'Landscape Trees '!I265</f>
        <v>0</v>
      </c>
    </row>
    <row r="450" spans="1:8" ht="12.75" x14ac:dyDescent="0.2">
      <c r="A450" s="51">
        <f>'Landscape Trees '!A266</f>
        <v>0</v>
      </c>
      <c r="B450" s="51">
        <f>'Landscape Trees '!C266</f>
        <v>0</v>
      </c>
      <c r="C450" s="51">
        <f>'Landscape Trees '!D266</f>
        <v>0</v>
      </c>
      <c r="D450" s="51">
        <f>'Landscape Trees '!E266</f>
        <v>0</v>
      </c>
      <c r="E450" s="51">
        <f>'Landscape Trees '!F266</f>
        <v>0</v>
      </c>
      <c r="F450" s="51">
        <f>'Landscape Trees '!G266</f>
        <v>0</v>
      </c>
      <c r="G450" s="51">
        <f>'Landscape Trees '!H266</f>
        <v>0</v>
      </c>
      <c r="H450" s="51">
        <f>'Landscape Trees '!I266</f>
        <v>0</v>
      </c>
    </row>
    <row r="451" spans="1:8" ht="12.75" x14ac:dyDescent="0.2">
      <c r="A451" s="51" t="e">
        <f t="shared" ref="A451:H451" si="0">#REF!</f>
        <v>#REF!</v>
      </c>
      <c r="B451" s="51" t="e">
        <f t="shared" si="0"/>
        <v>#REF!</v>
      </c>
      <c r="C451" s="51" t="e">
        <f t="shared" si="0"/>
        <v>#REF!</v>
      </c>
      <c r="D451" s="51" t="e">
        <f t="shared" si="0"/>
        <v>#REF!</v>
      </c>
      <c r="E451" s="51" t="e">
        <f t="shared" si="0"/>
        <v>#REF!</v>
      </c>
      <c r="F451" s="51" t="e">
        <f t="shared" si="0"/>
        <v>#REF!</v>
      </c>
      <c r="G451" s="51" t="e">
        <f t="shared" si="0"/>
        <v>#REF!</v>
      </c>
      <c r="H451" s="51" t="e">
        <f t="shared" si="0"/>
        <v>#REF!</v>
      </c>
    </row>
    <row r="452" spans="1:8" ht="12.75" x14ac:dyDescent="0.2">
      <c r="A452" s="51" t="e">
        <f t="shared" ref="A452:H452" si="1">#REF!</f>
        <v>#REF!</v>
      </c>
      <c r="B452" s="51" t="e">
        <f t="shared" si="1"/>
        <v>#REF!</v>
      </c>
      <c r="C452" s="51" t="e">
        <f t="shared" si="1"/>
        <v>#REF!</v>
      </c>
      <c r="D452" s="51" t="e">
        <f t="shared" si="1"/>
        <v>#REF!</v>
      </c>
      <c r="E452" s="51" t="e">
        <f t="shared" si="1"/>
        <v>#REF!</v>
      </c>
      <c r="F452" s="51" t="e">
        <f t="shared" si="1"/>
        <v>#REF!</v>
      </c>
      <c r="G452" s="51" t="e">
        <f t="shared" si="1"/>
        <v>#REF!</v>
      </c>
      <c r="H452" s="51" t="e">
        <f t="shared" si="1"/>
        <v>#REF!</v>
      </c>
    </row>
    <row r="453" spans="1:8" ht="12.75" x14ac:dyDescent="0.2">
      <c r="A453" s="51" t="e">
        <f t="shared" ref="A453:H453" si="2">#REF!</f>
        <v>#REF!</v>
      </c>
      <c r="B453" s="51" t="e">
        <f t="shared" si="2"/>
        <v>#REF!</v>
      </c>
      <c r="C453" s="51" t="e">
        <f t="shared" si="2"/>
        <v>#REF!</v>
      </c>
      <c r="D453" s="51" t="e">
        <f t="shared" si="2"/>
        <v>#REF!</v>
      </c>
      <c r="E453" s="51" t="e">
        <f t="shared" si="2"/>
        <v>#REF!</v>
      </c>
      <c r="F453" s="51" t="e">
        <f t="shared" si="2"/>
        <v>#REF!</v>
      </c>
      <c r="G453" s="51" t="e">
        <f t="shared" si="2"/>
        <v>#REF!</v>
      </c>
      <c r="H453" s="51" t="e">
        <f t="shared" si="2"/>
        <v>#REF!</v>
      </c>
    </row>
    <row r="454" spans="1:8" ht="12.75" x14ac:dyDescent="0.2">
      <c r="A454" s="51" t="e">
        <f t="shared" ref="A454:H454" si="3">#REF!</f>
        <v>#REF!</v>
      </c>
      <c r="B454" s="51" t="e">
        <f t="shared" si="3"/>
        <v>#REF!</v>
      </c>
      <c r="C454" s="51" t="e">
        <f t="shared" si="3"/>
        <v>#REF!</v>
      </c>
      <c r="D454" s="51" t="e">
        <f t="shared" si="3"/>
        <v>#REF!</v>
      </c>
      <c r="E454" s="51" t="e">
        <f t="shared" si="3"/>
        <v>#REF!</v>
      </c>
      <c r="F454" s="51" t="e">
        <f t="shared" si="3"/>
        <v>#REF!</v>
      </c>
      <c r="G454" s="51" t="e">
        <f t="shared" si="3"/>
        <v>#REF!</v>
      </c>
      <c r="H454" s="51" t="e">
        <f t="shared" si="3"/>
        <v>#REF!</v>
      </c>
    </row>
    <row r="455" spans="1:8" ht="12.75" hidden="1" x14ac:dyDescent="0.2">
      <c r="A455" s="51" t="e">
        <f t="shared" ref="A455:H455" si="4">#REF!</f>
        <v>#REF!</v>
      </c>
      <c r="B455" s="51" t="e">
        <f t="shared" si="4"/>
        <v>#REF!</v>
      </c>
      <c r="C455" s="51" t="e">
        <f t="shared" si="4"/>
        <v>#REF!</v>
      </c>
      <c r="D455" s="51" t="e">
        <f t="shared" si="4"/>
        <v>#REF!</v>
      </c>
      <c r="E455" s="51" t="e">
        <f t="shared" si="4"/>
        <v>#REF!</v>
      </c>
      <c r="F455" s="51" t="e">
        <f t="shared" si="4"/>
        <v>#REF!</v>
      </c>
      <c r="G455" s="51" t="e">
        <f t="shared" si="4"/>
        <v>#REF!</v>
      </c>
      <c r="H455" s="51" t="e">
        <f t="shared" si="4"/>
        <v>#REF!</v>
      </c>
    </row>
    <row r="456" spans="1:8" ht="12.75" hidden="1" x14ac:dyDescent="0.2">
      <c r="A456" s="51" t="e">
        <f t="shared" ref="A456:H456" si="5">#REF!</f>
        <v>#REF!</v>
      </c>
      <c r="B456" s="51" t="e">
        <f t="shared" si="5"/>
        <v>#REF!</v>
      </c>
      <c r="C456" s="51" t="e">
        <f t="shared" si="5"/>
        <v>#REF!</v>
      </c>
      <c r="D456" s="51" t="e">
        <f t="shared" si="5"/>
        <v>#REF!</v>
      </c>
      <c r="E456" s="51" t="e">
        <f t="shared" si="5"/>
        <v>#REF!</v>
      </c>
      <c r="F456" s="51" t="e">
        <f t="shared" si="5"/>
        <v>#REF!</v>
      </c>
      <c r="G456" s="51" t="e">
        <f t="shared" si="5"/>
        <v>#REF!</v>
      </c>
      <c r="H456" s="51" t="e">
        <f t="shared" si="5"/>
        <v>#REF!</v>
      </c>
    </row>
    <row r="457" spans="1:8" ht="12.75" hidden="1" x14ac:dyDescent="0.2">
      <c r="A457" s="51" t="e">
        <f t="shared" ref="A457:H457" si="6">#REF!</f>
        <v>#REF!</v>
      </c>
      <c r="B457" s="51" t="e">
        <f t="shared" si="6"/>
        <v>#REF!</v>
      </c>
      <c r="C457" s="51" t="e">
        <f t="shared" si="6"/>
        <v>#REF!</v>
      </c>
      <c r="D457" s="51" t="e">
        <f t="shared" si="6"/>
        <v>#REF!</v>
      </c>
      <c r="E457" s="51" t="e">
        <f t="shared" si="6"/>
        <v>#REF!</v>
      </c>
      <c r="F457" s="51" t="e">
        <f t="shared" si="6"/>
        <v>#REF!</v>
      </c>
      <c r="G457" s="51" t="e">
        <f t="shared" si="6"/>
        <v>#REF!</v>
      </c>
      <c r="H457" s="51" t="e">
        <f t="shared" si="6"/>
        <v>#REF!</v>
      </c>
    </row>
    <row r="458" spans="1:8" ht="12.75" hidden="1" x14ac:dyDescent="0.2">
      <c r="A458" s="51" t="e">
        <f t="shared" ref="A458:H458" si="7">#REF!</f>
        <v>#REF!</v>
      </c>
      <c r="B458" s="51" t="e">
        <f t="shared" si="7"/>
        <v>#REF!</v>
      </c>
      <c r="C458" s="51" t="e">
        <f t="shared" si="7"/>
        <v>#REF!</v>
      </c>
      <c r="D458" s="51" t="e">
        <f t="shared" si="7"/>
        <v>#REF!</v>
      </c>
      <c r="E458" s="51" t="e">
        <f t="shared" si="7"/>
        <v>#REF!</v>
      </c>
      <c r="F458" s="51" t="e">
        <f t="shared" si="7"/>
        <v>#REF!</v>
      </c>
      <c r="G458" s="51" t="e">
        <f t="shared" si="7"/>
        <v>#REF!</v>
      </c>
      <c r="H458" s="51" t="e">
        <f t="shared" si="7"/>
        <v>#REF!</v>
      </c>
    </row>
    <row r="459" spans="1:8" ht="12.75" hidden="1" x14ac:dyDescent="0.2">
      <c r="A459" s="51" t="e">
        <f t="shared" ref="A459:H459" si="8">#REF!</f>
        <v>#REF!</v>
      </c>
      <c r="B459" s="51" t="e">
        <f t="shared" si="8"/>
        <v>#REF!</v>
      </c>
      <c r="C459" s="51" t="e">
        <f t="shared" si="8"/>
        <v>#REF!</v>
      </c>
      <c r="D459" s="51" t="e">
        <f t="shared" si="8"/>
        <v>#REF!</v>
      </c>
      <c r="E459" s="51" t="e">
        <f t="shared" si="8"/>
        <v>#REF!</v>
      </c>
      <c r="F459" s="51" t="e">
        <f t="shared" si="8"/>
        <v>#REF!</v>
      </c>
      <c r="G459" s="51" t="e">
        <f t="shared" si="8"/>
        <v>#REF!</v>
      </c>
      <c r="H459" s="51" t="e">
        <f t="shared" si="8"/>
        <v>#REF!</v>
      </c>
    </row>
    <row r="460" spans="1:8" ht="12.75" hidden="1" x14ac:dyDescent="0.2">
      <c r="A460" s="51" t="e">
        <f t="shared" ref="A460:H460" si="9">#REF!</f>
        <v>#REF!</v>
      </c>
      <c r="B460" s="51" t="e">
        <f t="shared" si="9"/>
        <v>#REF!</v>
      </c>
      <c r="C460" s="51" t="e">
        <f t="shared" si="9"/>
        <v>#REF!</v>
      </c>
      <c r="D460" s="51" t="e">
        <f t="shared" si="9"/>
        <v>#REF!</v>
      </c>
      <c r="E460" s="51" t="e">
        <f t="shared" si="9"/>
        <v>#REF!</v>
      </c>
      <c r="F460" s="51" t="e">
        <f t="shared" si="9"/>
        <v>#REF!</v>
      </c>
      <c r="G460" s="51" t="e">
        <f t="shared" si="9"/>
        <v>#REF!</v>
      </c>
      <c r="H460" s="51" t="e">
        <f t="shared" si="9"/>
        <v>#REF!</v>
      </c>
    </row>
    <row r="461" spans="1:8" ht="12.75" hidden="1" x14ac:dyDescent="0.2">
      <c r="A461" s="51" t="e">
        <f t="shared" ref="A461:H461" si="10">#REF!</f>
        <v>#REF!</v>
      </c>
      <c r="B461" s="51" t="e">
        <f t="shared" si="10"/>
        <v>#REF!</v>
      </c>
      <c r="C461" s="51" t="e">
        <f t="shared" si="10"/>
        <v>#REF!</v>
      </c>
      <c r="D461" s="51" t="e">
        <f t="shared" si="10"/>
        <v>#REF!</v>
      </c>
      <c r="E461" s="51" t="e">
        <f t="shared" si="10"/>
        <v>#REF!</v>
      </c>
      <c r="F461" s="51" t="e">
        <f t="shared" si="10"/>
        <v>#REF!</v>
      </c>
      <c r="G461" s="51" t="e">
        <f t="shared" si="10"/>
        <v>#REF!</v>
      </c>
      <c r="H461" s="51" t="e">
        <f t="shared" si="10"/>
        <v>#REF!</v>
      </c>
    </row>
    <row r="462" spans="1:8" ht="12.75" hidden="1" x14ac:dyDescent="0.2">
      <c r="A462" s="51" t="e">
        <f t="shared" ref="A462:H462" si="11">#REF!</f>
        <v>#REF!</v>
      </c>
      <c r="B462" s="51" t="e">
        <f t="shared" si="11"/>
        <v>#REF!</v>
      </c>
      <c r="C462" s="51" t="e">
        <f t="shared" si="11"/>
        <v>#REF!</v>
      </c>
      <c r="D462" s="51" t="e">
        <f t="shared" si="11"/>
        <v>#REF!</v>
      </c>
      <c r="E462" s="51" t="e">
        <f t="shared" si="11"/>
        <v>#REF!</v>
      </c>
      <c r="F462" s="51" t="e">
        <f t="shared" si="11"/>
        <v>#REF!</v>
      </c>
      <c r="G462" s="51" t="e">
        <f t="shared" si="11"/>
        <v>#REF!</v>
      </c>
      <c r="H462" s="51" t="e">
        <f t="shared" si="11"/>
        <v>#REF!</v>
      </c>
    </row>
    <row r="463" spans="1:8" ht="12.75" hidden="1" x14ac:dyDescent="0.2">
      <c r="A463" s="51" t="e">
        <f t="shared" ref="A463:H463" si="12">#REF!</f>
        <v>#REF!</v>
      </c>
      <c r="B463" s="51" t="e">
        <f t="shared" si="12"/>
        <v>#REF!</v>
      </c>
      <c r="C463" s="51" t="e">
        <f t="shared" si="12"/>
        <v>#REF!</v>
      </c>
      <c r="D463" s="51" t="e">
        <f t="shared" si="12"/>
        <v>#REF!</v>
      </c>
      <c r="E463" s="51" t="e">
        <f t="shared" si="12"/>
        <v>#REF!</v>
      </c>
      <c r="F463" s="51" t="e">
        <f t="shared" si="12"/>
        <v>#REF!</v>
      </c>
      <c r="G463" s="51" t="e">
        <f t="shared" si="12"/>
        <v>#REF!</v>
      </c>
      <c r="H463" s="51" t="e">
        <f t="shared" si="12"/>
        <v>#REF!</v>
      </c>
    </row>
    <row r="464" spans="1:8" ht="12.75" hidden="1" x14ac:dyDescent="0.2">
      <c r="A464" s="51" t="e">
        <f t="shared" ref="A464:H464" si="13">#REF!</f>
        <v>#REF!</v>
      </c>
      <c r="B464" s="51" t="e">
        <f t="shared" si="13"/>
        <v>#REF!</v>
      </c>
      <c r="C464" s="51" t="e">
        <f t="shared" si="13"/>
        <v>#REF!</v>
      </c>
      <c r="D464" s="51" t="e">
        <f t="shared" si="13"/>
        <v>#REF!</v>
      </c>
      <c r="E464" s="51" t="e">
        <f t="shared" si="13"/>
        <v>#REF!</v>
      </c>
      <c r="F464" s="51" t="e">
        <f t="shared" si="13"/>
        <v>#REF!</v>
      </c>
      <c r="G464" s="51" t="e">
        <f t="shared" si="13"/>
        <v>#REF!</v>
      </c>
      <c r="H464" s="51" t="e">
        <f t="shared" si="13"/>
        <v>#REF!</v>
      </c>
    </row>
    <row r="465" spans="1:8" ht="12.75" hidden="1" x14ac:dyDescent="0.2">
      <c r="A465" s="51" t="e">
        <f t="shared" ref="A465:H465" si="14">#REF!</f>
        <v>#REF!</v>
      </c>
      <c r="B465" s="51" t="e">
        <f t="shared" si="14"/>
        <v>#REF!</v>
      </c>
      <c r="C465" s="51" t="e">
        <f t="shared" si="14"/>
        <v>#REF!</v>
      </c>
      <c r="D465" s="51" t="e">
        <f t="shared" si="14"/>
        <v>#REF!</v>
      </c>
      <c r="E465" s="51" t="e">
        <f t="shared" si="14"/>
        <v>#REF!</v>
      </c>
      <c r="F465" s="51" t="e">
        <f t="shared" si="14"/>
        <v>#REF!</v>
      </c>
      <c r="G465" s="51" t="e">
        <f t="shared" si="14"/>
        <v>#REF!</v>
      </c>
      <c r="H465" s="51" t="e">
        <f t="shared" si="14"/>
        <v>#REF!</v>
      </c>
    </row>
    <row r="466" spans="1:8" ht="12.75" hidden="1" x14ac:dyDescent="0.2">
      <c r="A466" s="51" t="e">
        <f t="shared" ref="A466:H466" si="15">#REF!</f>
        <v>#REF!</v>
      </c>
      <c r="B466" s="51" t="e">
        <f t="shared" si="15"/>
        <v>#REF!</v>
      </c>
      <c r="C466" s="51" t="e">
        <f t="shared" si="15"/>
        <v>#REF!</v>
      </c>
      <c r="D466" s="51" t="e">
        <f t="shared" si="15"/>
        <v>#REF!</v>
      </c>
      <c r="E466" s="51" t="e">
        <f t="shared" si="15"/>
        <v>#REF!</v>
      </c>
      <c r="F466" s="51" t="e">
        <f t="shared" si="15"/>
        <v>#REF!</v>
      </c>
      <c r="G466" s="51" t="e">
        <f t="shared" si="15"/>
        <v>#REF!</v>
      </c>
      <c r="H466" s="51" t="e">
        <f t="shared" si="15"/>
        <v>#REF!</v>
      </c>
    </row>
    <row r="467" spans="1:8" ht="12.75" hidden="1" x14ac:dyDescent="0.2">
      <c r="A467" s="51" t="e">
        <f t="shared" ref="A467:H467" si="16">#REF!</f>
        <v>#REF!</v>
      </c>
      <c r="B467" s="51" t="e">
        <f t="shared" si="16"/>
        <v>#REF!</v>
      </c>
      <c r="C467" s="51" t="e">
        <f t="shared" si="16"/>
        <v>#REF!</v>
      </c>
      <c r="D467" s="51" t="e">
        <f t="shared" si="16"/>
        <v>#REF!</v>
      </c>
      <c r="E467" s="51" t="e">
        <f t="shared" si="16"/>
        <v>#REF!</v>
      </c>
      <c r="F467" s="51" t="e">
        <f t="shared" si="16"/>
        <v>#REF!</v>
      </c>
      <c r="G467" s="51" t="e">
        <f t="shared" si="16"/>
        <v>#REF!</v>
      </c>
      <c r="H467" s="51" t="e">
        <f t="shared" si="16"/>
        <v>#REF!</v>
      </c>
    </row>
    <row r="468" spans="1:8" ht="12.75" hidden="1" x14ac:dyDescent="0.2">
      <c r="A468" s="51" t="e">
        <f t="shared" ref="A468:H468" si="17">#REF!</f>
        <v>#REF!</v>
      </c>
      <c r="B468" s="51" t="e">
        <f t="shared" si="17"/>
        <v>#REF!</v>
      </c>
      <c r="C468" s="51" t="e">
        <f t="shared" si="17"/>
        <v>#REF!</v>
      </c>
      <c r="D468" s="51" t="e">
        <f t="shared" si="17"/>
        <v>#REF!</v>
      </c>
      <c r="E468" s="51" t="e">
        <f t="shared" si="17"/>
        <v>#REF!</v>
      </c>
      <c r="F468" s="51" t="e">
        <f t="shared" si="17"/>
        <v>#REF!</v>
      </c>
      <c r="G468" s="51" t="e">
        <f t="shared" si="17"/>
        <v>#REF!</v>
      </c>
      <c r="H468" s="51" t="e">
        <f t="shared" si="17"/>
        <v>#REF!</v>
      </c>
    </row>
    <row r="469" spans="1:8" ht="12.75" hidden="1" x14ac:dyDescent="0.2">
      <c r="A469" s="51" t="e">
        <f t="shared" ref="A469:H469" si="18">#REF!</f>
        <v>#REF!</v>
      </c>
      <c r="B469" s="51" t="e">
        <f t="shared" si="18"/>
        <v>#REF!</v>
      </c>
      <c r="C469" s="51" t="e">
        <f t="shared" si="18"/>
        <v>#REF!</v>
      </c>
      <c r="D469" s="51" t="e">
        <f t="shared" si="18"/>
        <v>#REF!</v>
      </c>
      <c r="E469" s="51" t="e">
        <f t="shared" si="18"/>
        <v>#REF!</v>
      </c>
      <c r="F469" s="51" t="e">
        <f t="shared" si="18"/>
        <v>#REF!</v>
      </c>
      <c r="G469" s="51" t="e">
        <f t="shared" si="18"/>
        <v>#REF!</v>
      </c>
      <c r="H469" s="51" t="e">
        <f t="shared" si="18"/>
        <v>#REF!</v>
      </c>
    </row>
    <row r="470" spans="1:8" ht="12.75" hidden="1" x14ac:dyDescent="0.2">
      <c r="A470" s="51" t="e">
        <f t="shared" ref="A470:H470" si="19">#REF!</f>
        <v>#REF!</v>
      </c>
      <c r="B470" s="51" t="e">
        <f t="shared" si="19"/>
        <v>#REF!</v>
      </c>
      <c r="C470" s="51" t="e">
        <f t="shared" si="19"/>
        <v>#REF!</v>
      </c>
      <c r="D470" s="51" t="e">
        <f t="shared" si="19"/>
        <v>#REF!</v>
      </c>
      <c r="E470" s="51" t="e">
        <f t="shared" si="19"/>
        <v>#REF!</v>
      </c>
      <c r="F470" s="51" t="e">
        <f t="shared" si="19"/>
        <v>#REF!</v>
      </c>
      <c r="G470" s="51" t="e">
        <f t="shared" si="19"/>
        <v>#REF!</v>
      </c>
      <c r="H470" s="51" t="e">
        <f t="shared" si="19"/>
        <v>#REF!</v>
      </c>
    </row>
    <row r="471" spans="1:8" ht="12.75" hidden="1" x14ac:dyDescent="0.2">
      <c r="A471" s="51" t="e">
        <f t="shared" ref="A471:H471" si="20">#REF!</f>
        <v>#REF!</v>
      </c>
      <c r="B471" s="51" t="e">
        <f t="shared" si="20"/>
        <v>#REF!</v>
      </c>
      <c r="C471" s="51" t="e">
        <f t="shared" si="20"/>
        <v>#REF!</v>
      </c>
      <c r="D471" s="51" t="e">
        <f t="shared" si="20"/>
        <v>#REF!</v>
      </c>
      <c r="E471" s="51" t="e">
        <f t="shared" si="20"/>
        <v>#REF!</v>
      </c>
      <c r="F471" s="51" t="e">
        <f t="shared" si="20"/>
        <v>#REF!</v>
      </c>
      <c r="G471" s="51" t="e">
        <f t="shared" si="20"/>
        <v>#REF!</v>
      </c>
      <c r="H471" s="51" t="e">
        <f t="shared" si="20"/>
        <v>#REF!</v>
      </c>
    </row>
    <row r="472" spans="1:8" ht="12.75" hidden="1" x14ac:dyDescent="0.2">
      <c r="A472" s="51" t="e">
        <f t="shared" ref="A472:H472" si="21">#REF!</f>
        <v>#REF!</v>
      </c>
      <c r="B472" s="51" t="e">
        <f t="shared" si="21"/>
        <v>#REF!</v>
      </c>
      <c r="C472" s="51" t="e">
        <f t="shared" si="21"/>
        <v>#REF!</v>
      </c>
      <c r="D472" s="51" t="e">
        <f t="shared" si="21"/>
        <v>#REF!</v>
      </c>
      <c r="E472" s="51" t="e">
        <f t="shared" si="21"/>
        <v>#REF!</v>
      </c>
      <c r="F472" s="51" t="e">
        <f t="shared" si="21"/>
        <v>#REF!</v>
      </c>
      <c r="G472" s="51" t="e">
        <f t="shared" si="21"/>
        <v>#REF!</v>
      </c>
      <c r="H472" s="51" t="e">
        <f t="shared" si="21"/>
        <v>#REF!</v>
      </c>
    </row>
    <row r="473" spans="1:8" ht="12.75" hidden="1" x14ac:dyDescent="0.2">
      <c r="A473" s="51" t="e">
        <f t="shared" ref="A473:H473" si="22">#REF!</f>
        <v>#REF!</v>
      </c>
      <c r="B473" s="51" t="e">
        <f t="shared" si="22"/>
        <v>#REF!</v>
      </c>
      <c r="C473" s="51" t="e">
        <f t="shared" si="22"/>
        <v>#REF!</v>
      </c>
      <c r="D473" s="51" t="e">
        <f t="shared" si="22"/>
        <v>#REF!</v>
      </c>
      <c r="E473" s="51" t="e">
        <f t="shared" si="22"/>
        <v>#REF!</v>
      </c>
      <c r="F473" s="51" t="e">
        <f t="shared" si="22"/>
        <v>#REF!</v>
      </c>
      <c r="G473" s="51" t="e">
        <f t="shared" si="22"/>
        <v>#REF!</v>
      </c>
      <c r="H473" s="51" t="e">
        <f t="shared" si="22"/>
        <v>#REF!</v>
      </c>
    </row>
    <row r="474" spans="1:8" ht="12.75" hidden="1" x14ac:dyDescent="0.2">
      <c r="A474" s="51" t="e">
        <f t="shared" ref="A474:H474" si="23">#REF!</f>
        <v>#REF!</v>
      </c>
      <c r="B474" s="51" t="e">
        <f t="shared" si="23"/>
        <v>#REF!</v>
      </c>
      <c r="C474" s="51" t="e">
        <f t="shared" si="23"/>
        <v>#REF!</v>
      </c>
      <c r="D474" s="51" t="e">
        <f t="shared" si="23"/>
        <v>#REF!</v>
      </c>
      <c r="E474" s="51" t="e">
        <f t="shared" si="23"/>
        <v>#REF!</v>
      </c>
      <c r="F474" s="51" t="e">
        <f t="shared" si="23"/>
        <v>#REF!</v>
      </c>
      <c r="G474" s="51" t="e">
        <f t="shared" si="23"/>
        <v>#REF!</v>
      </c>
      <c r="H474" s="51" t="e">
        <f t="shared" si="23"/>
        <v>#REF!</v>
      </c>
    </row>
    <row r="475" spans="1:8" ht="12.75" hidden="1" x14ac:dyDescent="0.2">
      <c r="A475" s="51" t="e">
        <f t="shared" ref="A475:H475" si="24">#REF!</f>
        <v>#REF!</v>
      </c>
      <c r="B475" s="51" t="e">
        <f t="shared" si="24"/>
        <v>#REF!</v>
      </c>
      <c r="C475" s="51" t="e">
        <f t="shared" si="24"/>
        <v>#REF!</v>
      </c>
      <c r="D475" s="51" t="e">
        <f t="shared" si="24"/>
        <v>#REF!</v>
      </c>
      <c r="E475" s="51" t="e">
        <f t="shared" si="24"/>
        <v>#REF!</v>
      </c>
      <c r="F475" s="51" t="e">
        <f t="shared" si="24"/>
        <v>#REF!</v>
      </c>
      <c r="G475" s="51" t="e">
        <f t="shared" si="24"/>
        <v>#REF!</v>
      </c>
      <c r="H475" s="51" t="e">
        <f t="shared" si="24"/>
        <v>#REF!</v>
      </c>
    </row>
    <row r="476" spans="1:8" ht="12.75" hidden="1" x14ac:dyDescent="0.2">
      <c r="A476" s="51" t="e">
        <f t="shared" ref="A476:H476" si="25">#REF!</f>
        <v>#REF!</v>
      </c>
      <c r="B476" s="51" t="e">
        <f t="shared" si="25"/>
        <v>#REF!</v>
      </c>
      <c r="C476" s="51" t="e">
        <f t="shared" si="25"/>
        <v>#REF!</v>
      </c>
      <c r="D476" s="51" t="e">
        <f t="shared" si="25"/>
        <v>#REF!</v>
      </c>
      <c r="E476" s="51" t="e">
        <f t="shared" si="25"/>
        <v>#REF!</v>
      </c>
      <c r="F476" s="51" t="e">
        <f t="shared" si="25"/>
        <v>#REF!</v>
      </c>
      <c r="G476" s="51" t="e">
        <f t="shared" si="25"/>
        <v>#REF!</v>
      </c>
      <c r="H476" s="51" t="e">
        <f t="shared" si="25"/>
        <v>#REF!</v>
      </c>
    </row>
    <row r="477" spans="1:8" ht="12.75" hidden="1" x14ac:dyDescent="0.2">
      <c r="A477" s="51" t="e">
        <f t="shared" ref="A477:H477" si="26">#REF!</f>
        <v>#REF!</v>
      </c>
      <c r="B477" s="51" t="e">
        <f t="shared" si="26"/>
        <v>#REF!</v>
      </c>
      <c r="C477" s="51" t="e">
        <f t="shared" si="26"/>
        <v>#REF!</v>
      </c>
      <c r="D477" s="51" t="e">
        <f t="shared" si="26"/>
        <v>#REF!</v>
      </c>
      <c r="E477" s="51" t="e">
        <f t="shared" si="26"/>
        <v>#REF!</v>
      </c>
      <c r="F477" s="51" t="e">
        <f t="shared" si="26"/>
        <v>#REF!</v>
      </c>
      <c r="G477" s="51" t="e">
        <f t="shared" si="26"/>
        <v>#REF!</v>
      </c>
      <c r="H477" s="51" t="e">
        <f t="shared" si="26"/>
        <v>#REF!</v>
      </c>
    </row>
    <row r="478" spans="1:8" ht="12.75" hidden="1" x14ac:dyDescent="0.2">
      <c r="A478" s="51" t="e">
        <f t="shared" ref="A478:H478" si="27">#REF!</f>
        <v>#REF!</v>
      </c>
      <c r="B478" s="51" t="e">
        <f t="shared" si="27"/>
        <v>#REF!</v>
      </c>
      <c r="C478" s="51" t="e">
        <f t="shared" si="27"/>
        <v>#REF!</v>
      </c>
      <c r="D478" s="51" t="e">
        <f t="shared" si="27"/>
        <v>#REF!</v>
      </c>
      <c r="E478" s="51" t="e">
        <f t="shared" si="27"/>
        <v>#REF!</v>
      </c>
      <c r="F478" s="51" t="e">
        <f t="shared" si="27"/>
        <v>#REF!</v>
      </c>
      <c r="G478" s="51" t="e">
        <f t="shared" si="27"/>
        <v>#REF!</v>
      </c>
      <c r="H478" s="51" t="e">
        <f t="shared" si="27"/>
        <v>#REF!</v>
      </c>
    </row>
    <row r="479" spans="1:8" ht="12.75" hidden="1" x14ac:dyDescent="0.2">
      <c r="A479" s="51" t="e">
        <f t="shared" ref="A479:H479" si="28">#REF!</f>
        <v>#REF!</v>
      </c>
      <c r="B479" s="51" t="e">
        <f t="shared" si="28"/>
        <v>#REF!</v>
      </c>
      <c r="C479" s="51" t="e">
        <f t="shared" si="28"/>
        <v>#REF!</v>
      </c>
      <c r="D479" s="51" t="e">
        <f t="shared" si="28"/>
        <v>#REF!</v>
      </c>
      <c r="E479" s="51" t="e">
        <f t="shared" si="28"/>
        <v>#REF!</v>
      </c>
      <c r="F479" s="51" t="e">
        <f t="shared" si="28"/>
        <v>#REF!</v>
      </c>
      <c r="G479" s="51" t="e">
        <f t="shared" si="28"/>
        <v>#REF!</v>
      </c>
      <c r="H479" s="51" t="e">
        <f t="shared" si="28"/>
        <v>#REF!</v>
      </c>
    </row>
    <row r="480" spans="1:8" ht="12.75" hidden="1" x14ac:dyDescent="0.2">
      <c r="A480" s="51" t="e">
        <f t="shared" ref="A480:H480" si="29">#REF!</f>
        <v>#REF!</v>
      </c>
      <c r="B480" s="51" t="e">
        <f t="shared" si="29"/>
        <v>#REF!</v>
      </c>
      <c r="C480" s="51" t="e">
        <f t="shared" si="29"/>
        <v>#REF!</v>
      </c>
      <c r="D480" s="51" t="e">
        <f t="shared" si="29"/>
        <v>#REF!</v>
      </c>
      <c r="E480" s="51" t="e">
        <f t="shared" si="29"/>
        <v>#REF!</v>
      </c>
      <c r="F480" s="51" t="e">
        <f t="shared" si="29"/>
        <v>#REF!</v>
      </c>
      <c r="G480" s="51" t="e">
        <f t="shared" si="29"/>
        <v>#REF!</v>
      </c>
      <c r="H480" s="51" t="e">
        <f t="shared" si="29"/>
        <v>#REF!</v>
      </c>
    </row>
    <row r="481" spans="1:8" ht="12.75" hidden="1" x14ac:dyDescent="0.2">
      <c r="A481" s="51" t="e">
        <f t="shared" ref="A481:H481" si="30">#REF!</f>
        <v>#REF!</v>
      </c>
      <c r="B481" s="51" t="e">
        <f t="shared" si="30"/>
        <v>#REF!</v>
      </c>
      <c r="C481" s="51" t="e">
        <f t="shared" si="30"/>
        <v>#REF!</v>
      </c>
      <c r="D481" s="51" t="e">
        <f t="shared" si="30"/>
        <v>#REF!</v>
      </c>
      <c r="E481" s="51" t="e">
        <f t="shared" si="30"/>
        <v>#REF!</v>
      </c>
      <c r="F481" s="51" t="e">
        <f t="shared" si="30"/>
        <v>#REF!</v>
      </c>
      <c r="G481" s="51" t="e">
        <f t="shared" si="30"/>
        <v>#REF!</v>
      </c>
      <c r="H481" s="51" t="e">
        <f t="shared" si="30"/>
        <v>#REF!</v>
      </c>
    </row>
    <row r="482" spans="1:8" ht="12.75" hidden="1" x14ac:dyDescent="0.2">
      <c r="A482" s="51" t="e">
        <f t="shared" ref="A482:H482" si="31">#REF!</f>
        <v>#REF!</v>
      </c>
      <c r="B482" s="51" t="e">
        <f t="shared" si="31"/>
        <v>#REF!</v>
      </c>
      <c r="C482" s="51" t="e">
        <f t="shared" si="31"/>
        <v>#REF!</v>
      </c>
      <c r="D482" s="51" t="e">
        <f t="shared" si="31"/>
        <v>#REF!</v>
      </c>
      <c r="E482" s="51" t="e">
        <f t="shared" si="31"/>
        <v>#REF!</v>
      </c>
      <c r="F482" s="51" t="e">
        <f t="shared" si="31"/>
        <v>#REF!</v>
      </c>
      <c r="G482" s="51" t="e">
        <f t="shared" si="31"/>
        <v>#REF!</v>
      </c>
      <c r="H482" s="51" t="e">
        <f t="shared" si="31"/>
        <v>#REF!</v>
      </c>
    </row>
    <row r="483" spans="1:8" ht="12.75" hidden="1" x14ac:dyDescent="0.2">
      <c r="A483" s="51" t="e">
        <f t="shared" ref="A483:H483" si="32">#REF!</f>
        <v>#REF!</v>
      </c>
      <c r="B483" s="51" t="e">
        <f t="shared" si="32"/>
        <v>#REF!</v>
      </c>
      <c r="C483" s="51" t="e">
        <f t="shared" si="32"/>
        <v>#REF!</v>
      </c>
      <c r="D483" s="51" t="e">
        <f t="shared" si="32"/>
        <v>#REF!</v>
      </c>
      <c r="E483" s="51" t="e">
        <f t="shared" si="32"/>
        <v>#REF!</v>
      </c>
      <c r="F483" s="51" t="e">
        <f t="shared" si="32"/>
        <v>#REF!</v>
      </c>
      <c r="G483" s="51" t="e">
        <f t="shared" si="32"/>
        <v>#REF!</v>
      </c>
      <c r="H483" s="51" t="e">
        <f t="shared" si="32"/>
        <v>#REF!</v>
      </c>
    </row>
    <row r="484" spans="1:8" ht="12.75" hidden="1" x14ac:dyDescent="0.2">
      <c r="A484" s="51" t="e">
        <f t="shared" ref="A484:H484" si="33">#REF!</f>
        <v>#REF!</v>
      </c>
      <c r="B484" s="51" t="e">
        <f t="shared" si="33"/>
        <v>#REF!</v>
      </c>
      <c r="C484" s="51" t="e">
        <f t="shared" si="33"/>
        <v>#REF!</v>
      </c>
      <c r="D484" s="51" t="e">
        <f t="shared" si="33"/>
        <v>#REF!</v>
      </c>
      <c r="E484" s="51" t="e">
        <f t="shared" si="33"/>
        <v>#REF!</v>
      </c>
      <c r="F484" s="51" t="e">
        <f t="shared" si="33"/>
        <v>#REF!</v>
      </c>
      <c r="G484" s="51" t="e">
        <f t="shared" si="33"/>
        <v>#REF!</v>
      </c>
      <c r="H484" s="51" t="e">
        <f t="shared" si="33"/>
        <v>#REF!</v>
      </c>
    </row>
    <row r="485" spans="1:8" ht="12.75" hidden="1" x14ac:dyDescent="0.2">
      <c r="A485" s="51" t="e">
        <f t="shared" ref="A485:H485" si="34">#REF!</f>
        <v>#REF!</v>
      </c>
      <c r="B485" s="51" t="e">
        <f t="shared" si="34"/>
        <v>#REF!</v>
      </c>
      <c r="C485" s="51" t="e">
        <f t="shared" si="34"/>
        <v>#REF!</v>
      </c>
      <c r="D485" s="51" t="e">
        <f t="shared" si="34"/>
        <v>#REF!</v>
      </c>
      <c r="E485" s="51" t="e">
        <f t="shared" si="34"/>
        <v>#REF!</v>
      </c>
      <c r="F485" s="51" t="e">
        <f t="shared" si="34"/>
        <v>#REF!</v>
      </c>
      <c r="G485" s="51" t="e">
        <f t="shared" si="34"/>
        <v>#REF!</v>
      </c>
      <c r="H485" s="51" t="e">
        <f t="shared" si="34"/>
        <v>#REF!</v>
      </c>
    </row>
    <row r="486" spans="1:8" ht="12.75" hidden="1" x14ac:dyDescent="0.2">
      <c r="A486" s="51" t="e">
        <f t="shared" ref="A486:H486" si="35">#REF!</f>
        <v>#REF!</v>
      </c>
      <c r="B486" s="51" t="e">
        <f t="shared" si="35"/>
        <v>#REF!</v>
      </c>
      <c r="C486" s="51" t="e">
        <f t="shared" si="35"/>
        <v>#REF!</v>
      </c>
      <c r="D486" s="51" t="e">
        <f t="shared" si="35"/>
        <v>#REF!</v>
      </c>
      <c r="E486" s="51" t="e">
        <f t="shared" si="35"/>
        <v>#REF!</v>
      </c>
      <c r="F486" s="51" t="e">
        <f t="shared" si="35"/>
        <v>#REF!</v>
      </c>
      <c r="G486" s="51" t="e">
        <f t="shared" si="35"/>
        <v>#REF!</v>
      </c>
      <c r="H486" s="51" t="e">
        <f t="shared" si="35"/>
        <v>#REF!</v>
      </c>
    </row>
    <row r="487" spans="1:8" ht="12.75" hidden="1" x14ac:dyDescent="0.2">
      <c r="A487" s="51" t="e">
        <f t="shared" ref="A487:H487" si="36">#REF!</f>
        <v>#REF!</v>
      </c>
      <c r="B487" s="51" t="e">
        <f t="shared" si="36"/>
        <v>#REF!</v>
      </c>
      <c r="C487" s="51" t="e">
        <f t="shared" si="36"/>
        <v>#REF!</v>
      </c>
      <c r="D487" s="51" t="e">
        <f t="shared" si="36"/>
        <v>#REF!</v>
      </c>
      <c r="E487" s="51" t="e">
        <f t="shared" si="36"/>
        <v>#REF!</v>
      </c>
      <c r="F487" s="51" t="e">
        <f t="shared" si="36"/>
        <v>#REF!</v>
      </c>
      <c r="G487" s="51" t="e">
        <f t="shared" si="36"/>
        <v>#REF!</v>
      </c>
      <c r="H487" s="51" t="e">
        <f t="shared" si="36"/>
        <v>#REF!</v>
      </c>
    </row>
    <row r="488" spans="1:8" ht="12.75" hidden="1" x14ac:dyDescent="0.2">
      <c r="A488" s="51" t="e">
        <f t="shared" ref="A488:H488" si="37">#REF!</f>
        <v>#REF!</v>
      </c>
      <c r="B488" s="51" t="e">
        <f t="shared" si="37"/>
        <v>#REF!</v>
      </c>
      <c r="C488" s="51" t="e">
        <f t="shared" si="37"/>
        <v>#REF!</v>
      </c>
      <c r="D488" s="51" t="e">
        <f t="shared" si="37"/>
        <v>#REF!</v>
      </c>
      <c r="E488" s="51" t="e">
        <f t="shared" si="37"/>
        <v>#REF!</v>
      </c>
      <c r="F488" s="51" t="e">
        <f t="shared" si="37"/>
        <v>#REF!</v>
      </c>
      <c r="G488" s="51" t="e">
        <f t="shared" si="37"/>
        <v>#REF!</v>
      </c>
      <c r="H488" s="51" t="e">
        <f t="shared" si="37"/>
        <v>#REF!</v>
      </c>
    </row>
    <row r="489" spans="1:8" ht="12.75" hidden="1" x14ac:dyDescent="0.2">
      <c r="A489" s="51" t="e">
        <f t="shared" ref="A489:H489" si="38">#REF!</f>
        <v>#REF!</v>
      </c>
      <c r="B489" s="51" t="e">
        <f t="shared" si="38"/>
        <v>#REF!</v>
      </c>
      <c r="C489" s="51" t="e">
        <f t="shared" si="38"/>
        <v>#REF!</v>
      </c>
      <c r="D489" s="51" t="e">
        <f t="shared" si="38"/>
        <v>#REF!</v>
      </c>
      <c r="E489" s="51" t="e">
        <f t="shared" si="38"/>
        <v>#REF!</v>
      </c>
      <c r="F489" s="51" t="e">
        <f t="shared" si="38"/>
        <v>#REF!</v>
      </c>
      <c r="G489" s="51" t="e">
        <f t="shared" si="38"/>
        <v>#REF!</v>
      </c>
      <c r="H489" s="51" t="e">
        <f t="shared" si="38"/>
        <v>#REF!</v>
      </c>
    </row>
    <row r="490" spans="1:8" ht="12.75" hidden="1" x14ac:dyDescent="0.2">
      <c r="A490" s="51" t="e">
        <f t="shared" ref="A490:H490" si="39">#REF!</f>
        <v>#REF!</v>
      </c>
      <c r="B490" s="51" t="e">
        <f t="shared" si="39"/>
        <v>#REF!</v>
      </c>
      <c r="C490" s="51" t="e">
        <f t="shared" si="39"/>
        <v>#REF!</v>
      </c>
      <c r="D490" s="51" t="e">
        <f t="shared" si="39"/>
        <v>#REF!</v>
      </c>
      <c r="E490" s="51" t="e">
        <f t="shared" si="39"/>
        <v>#REF!</v>
      </c>
      <c r="F490" s="51" t="e">
        <f t="shared" si="39"/>
        <v>#REF!</v>
      </c>
      <c r="G490" s="51" t="e">
        <f t="shared" si="39"/>
        <v>#REF!</v>
      </c>
      <c r="H490" s="51" t="e">
        <f t="shared" si="39"/>
        <v>#REF!</v>
      </c>
    </row>
    <row r="491" spans="1:8" ht="12.75" hidden="1" x14ac:dyDescent="0.2">
      <c r="A491" s="51" t="e">
        <f t="shared" ref="A491:H491" si="40">#REF!</f>
        <v>#REF!</v>
      </c>
      <c r="B491" s="51" t="e">
        <f t="shared" si="40"/>
        <v>#REF!</v>
      </c>
      <c r="C491" s="51" t="e">
        <f t="shared" si="40"/>
        <v>#REF!</v>
      </c>
      <c r="D491" s="51" t="e">
        <f t="shared" si="40"/>
        <v>#REF!</v>
      </c>
      <c r="E491" s="51" t="e">
        <f t="shared" si="40"/>
        <v>#REF!</v>
      </c>
      <c r="F491" s="51" t="e">
        <f t="shared" si="40"/>
        <v>#REF!</v>
      </c>
      <c r="G491" s="51" t="e">
        <f t="shared" si="40"/>
        <v>#REF!</v>
      </c>
      <c r="H491" s="51" t="e">
        <f t="shared" si="40"/>
        <v>#REF!</v>
      </c>
    </row>
    <row r="492" spans="1:8" ht="12.75" hidden="1" x14ac:dyDescent="0.2">
      <c r="A492" s="51" t="e">
        <f t="shared" ref="A492:H492" si="41">#REF!</f>
        <v>#REF!</v>
      </c>
      <c r="B492" s="51" t="e">
        <f t="shared" si="41"/>
        <v>#REF!</v>
      </c>
      <c r="C492" s="51" t="e">
        <f t="shared" si="41"/>
        <v>#REF!</v>
      </c>
      <c r="D492" s="51" t="e">
        <f t="shared" si="41"/>
        <v>#REF!</v>
      </c>
      <c r="E492" s="51" t="e">
        <f t="shared" si="41"/>
        <v>#REF!</v>
      </c>
      <c r="F492" s="51" t="e">
        <f t="shared" si="41"/>
        <v>#REF!</v>
      </c>
      <c r="G492" s="51" t="e">
        <f t="shared" si="41"/>
        <v>#REF!</v>
      </c>
      <c r="H492" s="51" t="e">
        <f t="shared" si="41"/>
        <v>#REF!</v>
      </c>
    </row>
    <row r="493" spans="1:8" ht="12.75" hidden="1" x14ac:dyDescent="0.2">
      <c r="A493" s="51" t="e">
        <f t="shared" ref="A493:H493" si="42">#REF!</f>
        <v>#REF!</v>
      </c>
      <c r="B493" s="51" t="e">
        <f t="shared" si="42"/>
        <v>#REF!</v>
      </c>
      <c r="C493" s="51" t="e">
        <f t="shared" si="42"/>
        <v>#REF!</v>
      </c>
      <c r="D493" s="51" t="e">
        <f t="shared" si="42"/>
        <v>#REF!</v>
      </c>
      <c r="E493" s="51" t="e">
        <f t="shared" si="42"/>
        <v>#REF!</v>
      </c>
      <c r="F493" s="51" t="e">
        <f t="shared" si="42"/>
        <v>#REF!</v>
      </c>
      <c r="G493" s="51" t="e">
        <f t="shared" si="42"/>
        <v>#REF!</v>
      </c>
      <c r="H493" s="51" t="e">
        <f t="shared" si="42"/>
        <v>#REF!</v>
      </c>
    </row>
    <row r="494" spans="1:8" ht="12.75" hidden="1" x14ac:dyDescent="0.2">
      <c r="A494" s="51" t="e">
        <f t="shared" ref="A494:H494" si="43">#REF!</f>
        <v>#REF!</v>
      </c>
      <c r="B494" s="51" t="e">
        <f t="shared" si="43"/>
        <v>#REF!</v>
      </c>
      <c r="C494" s="51" t="e">
        <f t="shared" si="43"/>
        <v>#REF!</v>
      </c>
      <c r="D494" s="51" t="e">
        <f t="shared" si="43"/>
        <v>#REF!</v>
      </c>
      <c r="E494" s="51" t="e">
        <f t="shared" si="43"/>
        <v>#REF!</v>
      </c>
      <c r="F494" s="51" t="e">
        <f t="shared" si="43"/>
        <v>#REF!</v>
      </c>
      <c r="G494" s="51" t="e">
        <f t="shared" si="43"/>
        <v>#REF!</v>
      </c>
      <c r="H494" s="51" t="e">
        <f t="shared" si="43"/>
        <v>#REF!</v>
      </c>
    </row>
    <row r="495" spans="1:8" ht="12.75" hidden="1" x14ac:dyDescent="0.2">
      <c r="A495" s="51" t="e">
        <f t="shared" ref="A495:H495" si="44">#REF!</f>
        <v>#REF!</v>
      </c>
      <c r="B495" s="51" t="e">
        <f t="shared" si="44"/>
        <v>#REF!</v>
      </c>
      <c r="C495" s="51" t="e">
        <f t="shared" si="44"/>
        <v>#REF!</v>
      </c>
      <c r="D495" s="51" t="e">
        <f t="shared" si="44"/>
        <v>#REF!</v>
      </c>
      <c r="E495" s="51" t="e">
        <f t="shared" si="44"/>
        <v>#REF!</v>
      </c>
      <c r="F495" s="51" t="e">
        <f t="shared" si="44"/>
        <v>#REF!</v>
      </c>
      <c r="G495" s="51" t="e">
        <f t="shared" si="44"/>
        <v>#REF!</v>
      </c>
      <c r="H495" s="51" t="e">
        <f t="shared" si="44"/>
        <v>#REF!</v>
      </c>
    </row>
    <row r="496" spans="1:8" ht="12.75" hidden="1" x14ac:dyDescent="0.2">
      <c r="A496" s="51" t="e">
        <f t="shared" ref="A496:H496" si="45">#REF!</f>
        <v>#REF!</v>
      </c>
      <c r="B496" s="51" t="e">
        <f t="shared" si="45"/>
        <v>#REF!</v>
      </c>
      <c r="C496" s="51" t="e">
        <f t="shared" si="45"/>
        <v>#REF!</v>
      </c>
      <c r="D496" s="51" t="e">
        <f t="shared" si="45"/>
        <v>#REF!</v>
      </c>
      <c r="E496" s="51" t="e">
        <f t="shared" si="45"/>
        <v>#REF!</v>
      </c>
      <c r="F496" s="51" t="e">
        <f t="shared" si="45"/>
        <v>#REF!</v>
      </c>
      <c r="G496" s="51" t="e">
        <f t="shared" si="45"/>
        <v>#REF!</v>
      </c>
      <c r="H496" s="51" t="e">
        <f t="shared" si="45"/>
        <v>#REF!</v>
      </c>
    </row>
    <row r="497" spans="1:8" ht="12.75" hidden="1" x14ac:dyDescent="0.2">
      <c r="A497" s="51" t="e">
        <f t="shared" ref="A497:H497" si="46">#REF!</f>
        <v>#REF!</v>
      </c>
      <c r="B497" s="51" t="e">
        <f t="shared" si="46"/>
        <v>#REF!</v>
      </c>
      <c r="C497" s="51" t="e">
        <f t="shared" si="46"/>
        <v>#REF!</v>
      </c>
      <c r="D497" s="51" t="e">
        <f t="shared" si="46"/>
        <v>#REF!</v>
      </c>
      <c r="E497" s="51" t="e">
        <f t="shared" si="46"/>
        <v>#REF!</v>
      </c>
      <c r="F497" s="51" t="e">
        <f t="shared" si="46"/>
        <v>#REF!</v>
      </c>
      <c r="G497" s="51" t="e">
        <f t="shared" si="46"/>
        <v>#REF!</v>
      </c>
      <c r="H497" s="51" t="e">
        <f t="shared" si="46"/>
        <v>#REF!</v>
      </c>
    </row>
    <row r="498" spans="1:8" ht="12.75" hidden="1" x14ac:dyDescent="0.2">
      <c r="A498" s="51" t="e">
        <f t="shared" ref="A498:H498" si="47">#REF!</f>
        <v>#REF!</v>
      </c>
      <c r="B498" s="51" t="e">
        <f t="shared" si="47"/>
        <v>#REF!</v>
      </c>
      <c r="C498" s="51" t="e">
        <f t="shared" si="47"/>
        <v>#REF!</v>
      </c>
      <c r="D498" s="51" t="e">
        <f t="shared" si="47"/>
        <v>#REF!</v>
      </c>
      <c r="E498" s="51" t="e">
        <f t="shared" si="47"/>
        <v>#REF!</v>
      </c>
      <c r="F498" s="51" t="e">
        <f t="shared" si="47"/>
        <v>#REF!</v>
      </c>
      <c r="G498" s="51" t="e">
        <f t="shared" si="47"/>
        <v>#REF!</v>
      </c>
      <c r="H498" s="51" t="e">
        <f t="shared" si="47"/>
        <v>#REF!</v>
      </c>
    </row>
    <row r="499" spans="1:8" ht="12.75" hidden="1" x14ac:dyDescent="0.2">
      <c r="A499" s="51" t="e">
        <f t="shared" ref="A499:H499" si="48">#REF!</f>
        <v>#REF!</v>
      </c>
      <c r="B499" s="51" t="e">
        <f t="shared" si="48"/>
        <v>#REF!</v>
      </c>
      <c r="C499" s="51" t="e">
        <f t="shared" si="48"/>
        <v>#REF!</v>
      </c>
      <c r="D499" s="51" t="e">
        <f t="shared" si="48"/>
        <v>#REF!</v>
      </c>
      <c r="E499" s="51" t="e">
        <f t="shared" si="48"/>
        <v>#REF!</v>
      </c>
      <c r="F499" s="51" t="e">
        <f t="shared" si="48"/>
        <v>#REF!</v>
      </c>
      <c r="G499" s="51" t="e">
        <f t="shared" si="48"/>
        <v>#REF!</v>
      </c>
      <c r="H499" s="51" t="e">
        <f t="shared" si="48"/>
        <v>#REF!</v>
      </c>
    </row>
    <row r="500" spans="1:8" ht="12.75" hidden="1" x14ac:dyDescent="0.2">
      <c r="A500" s="51" t="e">
        <f t="shared" ref="A500:H500" si="49">#REF!</f>
        <v>#REF!</v>
      </c>
      <c r="B500" s="51" t="e">
        <f t="shared" si="49"/>
        <v>#REF!</v>
      </c>
      <c r="C500" s="51" t="e">
        <f t="shared" si="49"/>
        <v>#REF!</v>
      </c>
      <c r="D500" s="51" t="e">
        <f t="shared" si="49"/>
        <v>#REF!</v>
      </c>
      <c r="E500" s="51" t="e">
        <f t="shared" si="49"/>
        <v>#REF!</v>
      </c>
      <c r="F500" s="51" t="e">
        <f t="shared" si="49"/>
        <v>#REF!</v>
      </c>
      <c r="G500" s="51" t="e">
        <f t="shared" si="49"/>
        <v>#REF!</v>
      </c>
      <c r="H500" s="51" t="e">
        <f t="shared" si="49"/>
        <v>#REF!</v>
      </c>
    </row>
    <row r="501" spans="1:8" ht="12.75" hidden="1" x14ac:dyDescent="0.2">
      <c r="A501" s="51" t="e">
        <f t="shared" ref="A501:H501" si="50">#REF!</f>
        <v>#REF!</v>
      </c>
      <c r="B501" s="51" t="e">
        <f t="shared" si="50"/>
        <v>#REF!</v>
      </c>
      <c r="C501" s="51" t="e">
        <f t="shared" si="50"/>
        <v>#REF!</v>
      </c>
      <c r="D501" s="51" t="e">
        <f t="shared" si="50"/>
        <v>#REF!</v>
      </c>
      <c r="E501" s="51" t="e">
        <f t="shared" si="50"/>
        <v>#REF!</v>
      </c>
      <c r="F501" s="51" t="e">
        <f t="shared" si="50"/>
        <v>#REF!</v>
      </c>
      <c r="G501" s="51" t="e">
        <f t="shared" si="50"/>
        <v>#REF!</v>
      </c>
      <c r="H501" s="51" t="e">
        <f t="shared" si="50"/>
        <v>#REF!</v>
      </c>
    </row>
    <row r="502" spans="1:8" ht="12.75" hidden="1" x14ac:dyDescent="0.2">
      <c r="A502" s="51" t="e">
        <f t="shared" ref="A502:H502" si="51">#REF!</f>
        <v>#REF!</v>
      </c>
      <c r="B502" s="51" t="e">
        <f t="shared" si="51"/>
        <v>#REF!</v>
      </c>
      <c r="C502" s="51" t="e">
        <f t="shared" si="51"/>
        <v>#REF!</v>
      </c>
      <c r="D502" s="51" t="e">
        <f t="shared" si="51"/>
        <v>#REF!</v>
      </c>
      <c r="E502" s="51" t="e">
        <f t="shared" si="51"/>
        <v>#REF!</v>
      </c>
      <c r="F502" s="51" t="e">
        <f t="shared" si="51"/>
        <v>#REF!</v>
      </c>
      <c r="G502" s="51" t="e">
        <f t="shared" si="51"/>
        <v>#REF!</v>
      </c>
      <c r="H502" s="51" t="e">
        <f t="shared" si="51"/>
        <v>#REF!</v>
      </c>
    </row>
    <row r="503" spans="1:8" ht="12.75" hidden="1" x14ac:dyDescent="0.2">
      <c r="A503" s="51" t="e">
        <f t="shared" ref="A503:H503" si="52">#REF!</f>
        <v>#REF!</v>
      </c>
      <c r="B503" s="51" t="e">
        <f t="shared" si="52"/>
        <v>#REF!</v>
      </c>
      <c r="C503" s="51" t="e">
        <f t="shared" si="52"/>
        <v>#REF!</v>
      </c>
      <c r="D503" s="51" t="e">
        <f t="shared" si="52"/>
        <v>#REF!</v>
      </c>
      <c r="E503" s="51" t="e">
        <f t="shared" si="52"/>
        <v>#REF!</v>
      </c>
      <c r="F503" s="51" t="e">
        <f t="shared" si="52"/>
        <v>#REF!</v>
      </c>
      <c r="G503" s="51" t="e">
        <f t="shared" si="52"/>
        <v>#REF!</v>
      </c>
      <c r="H503" s="51" t="e">
        <f t="shared" si="52"/>
        <v>#REF!</v>
      </c>
    </row>
    <row r="504" spans="1:8" ht="12.75" hidden="1" x14ac:dyDescent="0.2">
      <c r="A504" s="51" t="e">
        <f t="shared" ref="A504:H504" si="53">#REF!</f>
        <v>#REF!</v>
      </c>
      <c r="B504" s="51" t="e">
        <f t="shared" si="53"/>
        <v>#REF!</v>
      </c>
      <c r="C504" s="51" t="e">
        <f t="shared" si="53"/>
        <v>#REF!</v>
      </c>
      <c r="D504" s="51" t="e">
        <f t="shared" si="53"/>
        <v>#REF!</v>
      </c>
      <c r="E504" s="51" t="e">
        <f t="shared" si="53"/>
        <v>#REF!</v>
      </c>
      <c r="F504" s="51" t="e">
        <f t="shared" si="53"/>
        <v>#REF!</v>
      </c>
      <c r="G504" s="51" t="e">
        <f t="shared" si="53"/>
        <v>#REF!</v>
      </c>
      <c r="H504" s="51" t="e">
        <f t="shared" si="53"/>
        <v>#REF!</v>
      </c>
    </row>
    <row r="505" spans="1:8" ht="12.75" hidden="1" x14ac:dyDescent="0.2">
      <c r="A505" s="51" t="e">
        <f t="shared" ref="A505:H505" si="54">#REF!</f>
        <v>#REF!</v>
      </c>
      <c r="B505" s="51" t="e">
        <f t="shared" si="54"/>
        <v>#REF!</v>
      </c>
      <c r="C505" s="51" t="e">
        <f t="shared" si="54"/>
        <v>#REF!</v>
      </c>
      <c r="D505" s="51" t="e">
        <f t="shared" si="54"/>
        <v>#REF!</v>
      </c>
      <c r="E505" s="51" t="e">
        <f t="shared" si="54"/>
        <v>#REF!</v>
      </c>
      <c r="F505" s="51" t="e">
        <f t="shared" si="54"/>
        <v>#REF!</v>
      </c>
      <c r="G505" s="51" t="e">
        <f t="shared" si="54"/>
        <v>#REF!</v>
      </c>
      <c r="H505" s="51" t="e">
        <f t="shared" si="54"/>
        <v>#REF!</v>
      </c>
    </row>
    <row r="506" spans="1:8" ht="12.75" hidden="1" x14ac:dyDescent="0.2">
      <c r="A506" s="51" t="e">
        <f t="shared" ref="A506:H506" si="55">#REF!</f>
        <v>#REF!</v>
      </c>
      <c r="B506" s="51" t="e">
        <f t="shared" si="55"/>
        <v>#REF!</v>
      </c>
      <c r="C506" s="51" t="e">
        <f t="shared" si="55"/>
        <v>#REF!</v>
      </c>
      <c r="D506" s="51" t="e">
        <f t="shared" si="55"/>
        <v>#REF!</v>
      </c>
      <c r="E506" s="51" t="e">
        <f t="shared" si="55"/>
        <v>#REF!</v>
      </c>
      <c r="F506" s="51" t="e">
        <f t="shared" si="55"/>
        <v>#REF!</v>
      </c>
      <c r="G506" s="51" t="e">
        <f t="shared" si="55"/>
        <v>#REF!</v>
      </c>
      <c r="H506" s="51" t="e">
        <f t="shared" si="55"/>
        <v>#REF!</v>
      </c>
    </row>
    <row r="507" spans="1:8" ht="12.75" hidden="1" x14ac:dyDescent="0.2">
      <c r="A507" s="51" t="e">
        <f t="shared" ref="A507:H507" si="56">#REF!</f>
        <v>#REF!</v>
      </c>
      <c r="B507" s="51" t="e">
        <f t="shared" si="56"/>
        <v>#REF!</v>
      </c>
      <c r="C507" s="51" t="e">
        <f t="shared" si="56"/>
        <v>#REF!</v>
      </c>
      <c r="D507" s="51" t="e">
        <f t="shared" si="56"/>
        <v>#REF!</v>
      </c>
      <c r="E507" s="51" t="e">
        <f t="shared" si="56"/>
        <v>#REF!</v>
      </c>
      <c r="F507" s="51" t="e">
        <f t="shared" si="56"/>
        <v>#REF!</v>
      </c>
      <c r="G507" s="51" t="e">
        <f t="shared" si="56"/>
        <v>#REF!</v>
      </c>
      <c r="H507" s="51" t="e">
        <f t="shared" si="56"/>
        <v>#REF!</v>
      </c>
    </row>
    <row r="508" spans="1:8" ht="12.75" hidden="1" x14ac:dyDescent="0.2">
      <c r="A508" s="51" t="e">
        <f t="shared" ref="A508:H508" si="57">#REF!</f>
        <v>#REF!</v>
      </c>
      <c r="B508" s="51" t="e">
        <f t="shared" si="57"/>
        <v>#REF!</v>
      </c>
      <c r="C508" s="51" t="e">
        <f t="shared" si="57"/>
        <v>#REF!</v>
      </c>
      <c r="D508" s="51" t="e">
        <f t="shared" si="57"/>
        <v>#REF!</v>
      </c>
      <c r="E508" s="51" t="e">
        <f t="shared" si="57"/>
        <v>#REF!</v>
      </c>
      <c r="F508" s="51" t="e">
        <f t="shared" si="57"/>
        <v>#REF!</v>
      </c>
      <c r="G508" s="51" t="e">
        <f t="shared" si="57"/>
        <v>#REF!</v>
      </c>
      <c r="H508" s="51" t="e">
        <f t="shared" si="57"/>
        <v>#REF!</v>
      </c>
    </row>
    <row r="509" spans="1:8" ht="12.75" hidden="1" x14ac:dyDescent="0.2">
      <c r="A509" s="51" t="e">
        <f t="shared" ref="A509:H509" si="58">#REF!</f>
        <v>#REF!</v>
      </c>
      <c r="B509" s="51" t="e">
        <f t="shared" si="58"/>
        <v>#REF!</v>
      </c>
      <c r="C509" s="51" t="e">
        <f t="shared" si="58"/>
        <v>#REF!</v>
      </c>
      <c r="D509" s="51" t="e">
        <f t="shared" si="58"/>
        <v>#REF!</v>
      </c>
      <c r="E509" s="51" t="e">
        <f t="shared" si="58"/>
        <v>#REF!</v>
      </c>
      <c r="F509" s="51" t="e">
        <f t="shared" si="58"/>
        <v>#REF!</v>
      </c>
      <c r="G509" s="51" t="e">
        <f t="shared" si="58"/>
        <v>#REF!</v>
      </c>
      <c r="H509" s="51" t="e">
        <f t="shared" si="58"/>
        <v>#REF!</v>
      </c>
    </row>
    <row r="510" spans="1:8" ht="12.75" hidden="1" x14ac:dyDescent="0.2">
      <c r="A510" s="51" t="e">
        <f t="shared" ref="A510:H510" si="59">#REF!</f>
        <v>#REF!</v>
      </c>
      <c r="B510" s="51" t="e">
        <f t="shared" si="59"/>
        <v>#REF!</v>
      </c>
      <c r="C510" s="51" t="e">
        <f t="shared" si="59"/>
        <v>#REF!</v>
      </c>
      <c r="D510" s="51" t="e">
        <f t="shared" si="59"/>
        <v>#REF!</v>
      </c>
      <c r="E510" s="51" t="e">
        <f t="shared" si="59"/>
        <v>#REF!</v>
      </c>
      <c r="F510" s="51" t="e">
        <f t="shared" si="59"/>
        <v>#REF!</v>
      </c>
      <c r="G510" s="51" t="e">
        <f t="shared" si="59"/>
        <v>#REF!</v>
      </c>
      <c r="H510" s="51" t="e">
        <f t="shared" si="59"/>
        <v>#REF!</v>
      </c>
    </row>
    <row r="511" spans="1:8" ht="12.75" hidden="1" x14ac:dyDescent="0.2">
      <c r="A511" s="47" t="e">
        <f t="shared" ref="A511:H511" si="60">#REF!</f>
        <v>#REF!</v>
      </c>
      <c r="B511" s="47" t="e">
        <f t="shared" si="60"/>
        <v>#REF!</v>
      </c>
      <c r="C511" s="47" t="e">
        <f t="shared" si="60"/>
        <v>#REF!</v>
      </c>
      <c r="D511" s="47" t="e">
        <f t="shared" si="60"/>
        <v>#REF!</v>
      </c>
      <c r="E511" s="47" t="e">
        <f t="shared" si="60"/>
        <v>#REF!</v>
      </c>
      <c r="F511" s="47" t="e">
        <f t="shared" si="60"/>
        <v>#REF!</v>
      </c>
      <c r="G511" s="47" t="e">
        <f t="shared" si="60"/>
        <v>#REF!</v>
      </c>
      <c r="H511" s="47" t="e">
        <f t="shared" si="60"/>
        <v>#REF!</v>
      </c>
    </row>
    <row r="512" spans="1:8" ht="12.75" hidden="1" x14ac:dyDescent="0.2">
      <c r="A512" s="47" t="e">
        <f t="shared" ref="A512:H512" si="61">#REF!</f>
        <v>#REF!</v>
      </c>
      <c r="B512" s="47" t="e">
        <f t="shared" si="61"/>
        <v>#REF!</v>
      </c>
      <c r="C512" s="47" t="e">
        <f t="shared" si="61"/>
        <v>#REF!</v>
      </c>
      <c r="D512" s="47" t="e">
        <f t="shared" si="61"/>
        <v>#REF!</v>
      </c>
      <c r="E512" s="47" t="e">
        <f t="shared" si="61"/>
        <v>#REF!</v>
      </c>
      <c r="F512" s="47" t="e">
        <f t="shared" si="61"/>
        <v>#REF!</v>
      </c>
      <c r="G512" s="47" t="e">
        <f t="shared" si="61"/>
        <v>#REF!</v>
      </c>
      <c r="H512" s="47" t="e">
        <f t="shared" si="61"/>
        <v>#REF!</v>
      </c>
    </row>
    <row r="513" spans="1:8" ht="12.75" hidden="1" x14ac:dyDescent="0.2">
      <c r="A513" s="47" t="e">
        <f t="shared" ref="A513:H513" si="62">#REF!</f>
        <v>#REF!</v>
      </c>
      <c r="B513" s="47" t="e">
        <f t="shared" si="62"/>
        <v>#REF!</v>
      </c>
      <c r="C513" s="47" t="e">
        <f t="shared" si="62"/>
        <v>#REF!</v>
      </c>
      <c r="D513" s="47" t="e">
        <f t="shared" si="62"/>
        <v>#REF!</v>
      </c>
      <c r="E513" s="47" t="e">
        <f t="shared" si="62"/>
        <v>#REF!</v>
      </c>
      <c r="F513" s="47" t="e">
        <f t="shared" si="62"/>
        <v>#REF!</v>
      </c>
      <c r="G513" s="47" t="e">
        <f t="shared" si="62"/>
        <v>#REF!</v>
      </c>
      <c r="H513" s="47" t="e">
        <f t="shared" si="62"/>
        <v>#REF!</v>
      </c>
    </row>
    <row r="514" spans="1:8" ht="12.75" hidden="1" x14ac:dyDescent="0.2">
      <c r="A514" s="47" t="e">
        <f t="shared" ref="A514:H514" si="63">#REF!</f>
        <v>#REF!</v>
      </c>
      <c r="B514" s="47" t="e">
        <f t="shared" si="63"/>
        <v>#REF!</v>
      </c>
      <c r="C514" s="47" t="e">
        <f t="shared" si="63"/>
        <v>#REF!</v>
      </c>
      <c r="D514" s="47" t="e">
        <f t="shared" si="63"/>
        <v>#REF!</v>
      </c>
      <c r="E514" s="47" t="e">
        <f t="shared" si="63"/>
        <v>#REF!</v>
      </c>
      <c r="F514" s="47" t="e">
        <f t="shared" si="63"/>
        <v>#REF!</v>
      </c>
      <c r="G514" s="47" t="e">
        <f t="shared" si="63"/>
        <v>#REF!</v>
      </c>
      <c r="H514" s="47" t="e">
        <f t="shared" si="63"/>
        <v>#REF!</v>
      </c>
    </row>
    <row r="515" spans="1:8" ht="12.75" hidden="1" x14ac:dyDescent="0.2">
      <c r="A515" s="47" t="e">
        <f t="shared" ref="A515:H515" si="64">#REF!</f>
        <v>#REF!</v>
      </c>
      <c r="B515" s="47" t="e">
        <f t="shared" si="64"/>
        <v>#REF!</v>
      </c>
      <c r="C515" s="47" t="e">
        <f t="shared" si="64"/>
        <v>#REF!</v>
      </c>
      <c r="D515" s="47" t="e">
        <f t="shared" si="64"/>
        <v>#REF!</v>
      </c>
      <c r="E515" s="47" t="e">
        <f t="shared" si="64"/>
        <v>#REF!</v>
      </c>
      <c r="F515" s="47" t="e">
        <f t="shared" si="64"/>
        <v>#REF!</v>
      </c>
      <c r="G515" s="47" t="e">
        <f t="shared" si="64"/>
        <v>#REF!</v>
      </c>
      <c r="H515" s="47" t="e">
        <f t="shared" si="64"/>
        <v>#REF!</v>
      </c>
    </row>
    <row r="516" spans="1:8" ht="12.75" hidden="1" x14ac:dyDescent="0.2">
      <c r="A516" s="47" t="e">
        <f t="shared" ref="A516:H516" si="65">#REF!</f>
        <v>#REF!</v>
      </c>
      <c r="B516" s="47" t="e">
        <f t="shared" si="65"/>
        <v>#REF!</v>
      </c>
      <c r="C516" s="47" t="e">
        <f t="shared" si="65"/>
        <v>#REF!</v>
      </c>
      <c r="D516" s="47" t="e">
        <f t="shared" si="65"/>
        <v>#REF!</v>
      </c>
      <c r="E516" s="47" t="e">
        <f t="shared" si="65"/>
        <v>#REF!</v>
      </c>
      <c r="F516" s="47" t="e">
        <f t="shared" si="65"/>
        <v>#REF!</v>
      </c>
      <c r="G516" s="47" t="e">
        <f t="shared" si="65"/>
        <v>#REF!</v>
      </c>
      <c r="H516" s="47" t="e">
        <f t="shared" si="65"/>
        <v>#REF!</v>
      </c>
    </row>
    <row r="517" spans="1:8" ht="12.75" hidden="1" x14ac:dyDescent="0.2">
      <c r="A517" s="47" t="e">
        <f t="shared" ref="A517:H517" si="66">#REF!</f>
        <v>#REF!</v>
      </c>
      <c r="B517" s="47" t="e">
        <f t="shared" si="66"/>
        <v>#REF!</v>
      </c>
      <c r="C517" s="47" t="e">
        <f t="shared" si="66"/>
        <v>#REF!</v>
      </c>
      <c r="D517" s="47" t="e">
        <f t="shared" si="66"/>
        <v>#REF!</v>
      </c>
      <c r="E517" s="47" t="e">
        <f t="shared" si="66"/>
        <v>#REF!</v>
      </c>
      <c r="F517" s="47" t="e">
        <f t="shared" si="66"/>
        <v>#REF!</v>
      </c>
      <c r="G517" s="47" t="e">
        <f t="shared" si="66"/>
        <v>#REF!</v>
      </c>
      <c r="H517" s="47" t="e">
        <f t="shared" si="66"/>
        <v>#REF!</v>
      </c>
    </row>
    <row r="518" spans="1:8" ht="12.75" hidden="1" x14ac:dyDescent="0.2">
      <c r="A518" s="47" t="e">
        <f t="shared" ref="A518:H518" si="67">#REF!</f>
        <v>#REF!</v>
      </c>
      <c r="B518" s="47" t="e">
        <f t="shared" si="67"/>
        <v>#REF!</v>
      </c>
      <c r="C518" s="47" t="e">
        <f t="shared" si="67"/>
        <v>#REF!</v>
      </c>
      <c r="D518" s="47" t="e">
        <f t="shared" si="67"/>
        <v>#REF!</v>
      </c>
      <c r="E518" s="47" t="e">
        <f t="shared" si="67"/>
        <v>#REF!</v>
      </c>
      <c r="F518" s="47" t="e">
        <f t="shared" si="67"/>
        <v>#REF!</v>
      </c>
      <c r="G518" s="47" t="e">
        <f t="shared" si="67"/>
        <v>#REF!</v>
      </c>
      <c r="H518" s="47" t="e">
        <f t="shared" si="67"/>
        <v>#REF!</v>
      </c>
    </row>
    <row r="519" spans="1:8" ht="12.75" hidden="1" x14ac:dyDescent="0.2">
      <c r="A519" s="47" t="e">
        <f t="shared" ref="A519:H519" si="68">#REF!</f>
        <v>#REF!</v>
      </c>
      <c r="B519" s="47" t="e">
        <f t="shared" si="68"/>
        <v>#REF!</v>
      </c>
      <c r="C519" s="47" t="e">
        <f t="shared" si="68"/>
        <v>#REF!</v>
      </c>
      <c r="D519" s="47" t="e">
        <f t="shared" si="68"/>
        <v>#REF!</v>
      </c>
      <c r="E519" s="47" t="e">
        <f t="shared" si="68"/>
        <v>#REF!</v>
      </c>
      <c r="F519" s="47" t="e">
        <f t="shared" si="68"/>
        <v>#REF!</v>
      </c>
      <c r="G519" s="47" t="e">
        <f t="shared" si="68"/>
        <v>#REF!</v>
      </c>
      <c r="H519" s="47" t="e">
        <f t="shared" si="68"/>
        <v>#REF!</v>
      </c>
    </row>
    <row r="520" spans="1:8" ht="12.75" hidden="1" x14ac:dyDescent="0.2">
      <c r="A520" s="47" t="e">
        <f t="shared" ref="A520:H520" si="69">#REF!</f>
        <v>#REF!</v>
      </c>
      <c r="B520" s="47" t="e">
        <f t="shared" si="69"/>
        <v>#REF!</v>
      </c>
      <c r="C520" s="47" t="e">
        <f t="shared" si="69"/>
        <v>#REF!</v>
      </c>
      <c r="D520" s="47" t="e">
        <f t="shared" si="69"/>
        <v>#REF!</v>
      </c>
      <c r="E520" s="47" t="e">
        <f t="shared" si="69"/>
        <v>#REF!</v>
      </c>
      <c r="F520" s="47" t="e">
        <f t="shared" si="69"/>
        <v>#REF!</v>
      </c>
      <c r="G520" s="47" t="e">
        <f t="shared" si="69"/>
        <v>#REF!</v>
      </c>
      <c r="H520" s="47" t="e">
        <f t="shared" si="69"/>
        <v>#REF!</v>
      </c>
    </row>
    <row r="521" spans="1:8" ht="12.75" hidden="1" x14ac:dyDescent="0.2">
      <c r="A521" s="47" t="e">
        <f t="shared" ref="A521:H521" si="70">#REF!</f>
        <v>#REF!</v>
      </c>
      <c r="B521" s="47" t="e">
        <f t="shared" si="70"/>
        <v>#REF!</v>
      </c>
      <c r="C521" s="47" t="e">
        <f t="shared" si="70"/>
        <v>#REF!</v>
      </c>
      <c r="D521" s="47" t="e">
        <f t="shared" si="70"/>
        <v>#REF!</v>
      </c>
      <c r="E521" s="47" t="e">
        <f t="shared" si="70"/>
        <v>#REF!</v>
      </c>
      <c r="F521" s="47" t="e">
        <f t="shared" si="70"/>
        <v>#REF!</v>
      </c>
      <c r="G521" s="47" t="e">
        <f t="shared" si="70"/>
        <v>#REF!</v>
      </c>
      <c r="H521" s="47" t="e">
        <f t="shared" si="70"/>
        <v>#REF!</v>
      </c>
    </row>
    <row r="522" spans="1:8" ht="12.75" hidden="1" x14ac:dyDescent="0.2">
      <c r="A522" s="47" t="e">
        <f t="shared" ref="A522:H522" si="71">#REF!</f>
        <v>#REF!</v>
      </c>
      <c r="B522" s="47" t="e">
        <f t="shared" si="71"/>
        <v>#REF!</v>
      </c>
      <c r="C522" s="47" t="e">
        <f t="shared" si="71"/>
        <v>#REF!</v>
      </c>
      <c r="D522" s="47" t="e">
        <f t="shared" si="71"/>
        <v>#REF!</v>
      </c>
      <c r="E522" s="47" t="e">
        <f t="shared" si="71"/>
        <v>#REF!</v>
      </c>
      <c r="F522" s="47" t="e">
        <f t="shared" si="71"/>
        <v>#REF!</v>
      </c>
      <c r="G522" s="47" t="e">
        <f t="shared" si="71"/>
        <v>#REF!</v>
      </c>
      <c r="H522" s="47" t="e">
        <f t="shared" si="71"/>
        <v>#REF!</v>
      </c>
    </row>
    <row r="523" spans="1:8" ht="12.75" hidden="1" x14ac:dyDescent="0.2">
      <c r="A523" s="47" t="e">
        <f t="shared" ref="A523:H523" si="72">#REF!</f>
        <v>#REF!</v>
      </c>
      <c r="B523" s="47" t="e">
        <f t="shared" si="72"/>
        <v>#REF!</v>
      </c>
      <c r="C523" s="47" t="e">
        <f t="shared" si="72"/>
        <v>#REF!</v>
      </c>
      <c r="D523" s="47" t="e">
        <f t="shared" si="72"/>
        <v>#REF!</v>
      </c>
      <c r="E523" s="47" t="e">
        <f t="shared" si="72"/>
        <v>#REF!</v>
      </c>
      <c r="F523" s="47" t="e">
        <f t="shared" si="72"/>
        <v>#REF!</v>
      </c>
      <c r="G523" s="47" t="e">
        <f t="shared" si="72"/>
        <v>#REF!</v>
      </c>
      <c r="H523" s="47" t="e">
        <f t="shared" si="72"/>
        <v>#REF!</v>
      </c>
    </row>
    <row r="524" spans="1:8" ht="12.75" hidden="1" x14ac:dyDescent="0.2">
      <c r="A524" s="47" t="e">
        <f t="shared" ref="A524:H524" si="73">#REF!</f>
        <v>#REF!</v>
      </c>
      <c r="B524" s="47" t="e">
        <f t="shared" si="73"/>
        <v>#REF!</v>
      </c>
      <c r="C524" s="47" t="e">
        <f t="shared" si="73"/>
        <v>#REF!</v>
      </c>
      <c r="D524" s="47" t="e">
        <f t="shared" si="73"/>
        <v>#REF!</v>
      </c>
      <c r="E524" s="47" t="e">
        <f t="shared" si="73"/>
        <v>#REF!</v>
      </c>
      <c r="F524" s="47" t="e">
        <f t="shared" si="73"/>
        <v>#REF!</v>
      </c>
      <c r="G524" s="47" t="e">
        <f t="shared" si="73"/>
        <v>#REF!</v>
      </c>
      <c r="H524" s="47" t="e">
        <f t="shared" si="73"/>
        <v>#REF!</v>
      </c>
    </row>
    <row r="525" spans="1:8" ht="12.75" hidden="1" x14ac:dyDescent="0.2">
      <c r="A525" s="47" t="e">
        <f t="shared" ref="A525:H525" si="74">#REF!</f>
        <v>#REF!</v>
      </c>
      <c r="B525" s="47" t="e">
        <f t="shared" si="74"/>
        <v>#REF!</v>
      </c>
      <c r="C525" s="47" t="e">
        <f t="shared" si="74"/>
        <v>#REF!</v>
      </c>
      <c r="D525" s="47" t="e">
        <f t="shared" si="74"/>
        <v>#REF!</v>
      </c>
      <c r="E525" s="47" t="e">
        <f t="shared" si="74"/>
        <v>#REF!</v>
      </c>
      <c r="F525" s="47" t="e">
        <f t="shared" si="74"/>
        <v>#REF!</v>
      </c>
      <c r="G525" s="47" t="e">
        <f t="shared" si="74"/>
        <v>#REF!</v>
      </c>
      <c r="H525" s="47" t="e">
        <f t="shared" si="74"/>
        <v>#REF!</v>
      </c>
    </row>
    <row r="526" spans="1:8" ht="12.75" hidden="1" x14ac:dyDescent="0.2">
      <c r="A526" s="47" t="e">
        <f t="shared" ref="A526:H526" si="75">#REF!</f>
        <v>#REF!</v>
      </c>
      <c r="B526" s="47" t="e">
        <f t="shared" si="75"/>
        <v>#REF!</v>
      </c>
      <c r="C526" s="47" t="e">
        <f t="shared" si="75"/>
        <v>#REF!</v>
      </c>
      <c r="D526" s="47" t="e">
        <f t="shared" si="75"/>
        <v>#REF!</v>
      </c>
      <c r="E526" s="47" t="e">
        <f t="shared" si="75"/>
        <v>#REF!</v>
      </c>
      <c r="F526" s="47" t="e">
        <f t="shared" si="75"/>
        <v>#REF!</v>
      </c>
      <c r="G526" s="47" t="e">
        <f t="shared" si="75"/>
        <v>#REF!</v>
      </c>
      <c r="H526" s="47" t="e">
        <f t="shared" si="75"/>
        <v>#REF!</v>
      </c>
    </row>
    <row r="527" spans="1:8" ht="12.75" hidden="1" x14ac:dyDescent="0.2">
      <c r="A527" s="47" t="e">
        <f t="shared" ref="A527:H527" si="76">#REF!</f>
        <v>#REF!</v>
      </c>
      <c r="B527" s="47" t="e">
        <f t="shared" si="76"/>
        <v>#REF!</v>
      </c>
      <c r="C527" s="47" t="e">
        <f t="shared" si="76"/>
        <v>#REF!</v>
      </c>
      <c r="D527" s="47" t="e">
        <f t="shared" si="76"/>
        <v>#REF!</v>
      </c>
      <c r="E527" s="47" t="e">
        <f t="shared" si="76"/>
        <v>#REF!</v>
      </c>
      <c r="F527" s="47" t="e">
        <f t="shared" si="76"/>
        <v>#REF!</v>
      </c>
      <c r="G527" s="47" t="e">
        <f t="shared" si="76"/>
        <v>#REF!</v>
      </c>
      <c r="H527" s="47" t="e">
        <f t="shared" si="76"/>
        <v>#REF!</v>
      </c>
    </row>
    <row r="528" spans="1:8" ht="12.75" hidden="1" x14ac:dyDescent="0.2">
      <c r="A528" s="47" t="e">
        <f t="shared" ref="A528:H528" si="77">#REF!</f>
        <v>#REF!</v>
      </c>
      <c r="B528" s="47" t="e">
        <f t="shared" si="77"/>
        <v>#REF!</v>
      </c>
      <c r="C528" s="47" t="e">
        <f t="shared" si="77"/>
        <v>#REF!</v>
      </c>
      <c r="D528" s="47" t="e">
        <f t="shared" si="77"/>
        <v>#REF!</v>
      </c>
      <c r="E528" s="47" t="e">
        <f t="shared" si="77"/>
        <v>#REF!</v>
      </c>
      <c r="F528" s="47" t="e">
        <f t="shared" si="77"/>
        <v>#REF!</v>
      </c>
      <c r="G528" s="47" t="e">
        <f t="shared" si="77"/>
        <v>#REF!</v>
      </c>
      <c r="H528" s="47" t="e">
        <f t="shared" si="77"/>
        <v>#REF!</v>
      </c>
    </row>
    <row r="529" spans="1:8" ht="12.75" hidden="1" x14ac:dyDescent="0.2">
      <c r="A529" s="47" t="e">
        <f t="shared" ref="A529:H529" si="78">#REF!</f>
        <v>#REF!</v>
      </c>
      <c r="B529" s="47" t="e">
        <f t="shared" si="78"/>
        <v>#REF!</v>
      </c>
      <c r="C529" s="47" t="e">
        <f t="shared" si="78"/>
        <v>#REF!</v>
      </c>
      <c r="D529" s="47" t="e">
        <f t="shared" si="78"/>
        <v>#REF!</v>
      </c>
      <c r="E529" s="47" t="e">
        <f t="shared" si="78"/>
        <v>#REF!</v>
      </c>
      <c r="F529" s="47" t="e">
        <f t="shared" si="78"/>
        <v>#REF!</v>
      </c>
      <c r="G529" s="47" t="e">
        <f t="shared" si="78"/>
        <v>#REF!</v>
      </c>
      <c r="H529" s="47" t="e">
        <f t="shared" si="78"/>
        <v>#REF!</v>
      </c>
    </row>
    <row r="530" spans="1:8" ht="12.75" hidden="1" x14ac:dyDescent="0.2">
      <c r="A530" s="47" t="e">
        <f t="shared" ref="A530:H530" si="79">#REF!</f>
        <v>#REF!</v>
      </c>
      <c r="B530" s="47" t="e">
        <f t="shared" si="79"/>
        <v>#REF!</v>
      </c>
      <c r="C530" s="47" t="e">
        <f t="shared" si="79"/>
        <v>#REF!</v>
      </c>
      <c r="D530" s="47" t="e">
        <f t="shared" si="79"/>
        <v>#REF!</v>
      </c>
      <c r="E530" s="47" t="e">
        <f t="shared" si="79"/>
        <v>#REF!</v>
      </c>
      <c r="F530" s="47" t="e">
        <f t="shared" si="79"/>
        <v>#REF!</v>
      </c>
      <c r="G530" s="47" t="e">
        <f t="shared" si="79"/>
        <v>#REF!</v>
      </c>
      <c r="H530" s="47" t="e">
        <f t="shared" si="79"/>
        <v>#REF!</v>
      </c>
    </row>
    <row r="531" spans="1:8" ht="12.75" hidden="1" x14ac:dyDescent="0.2">
      <c r="A531" s="47" t="e">
        <f t="shared" ref="A531:H531" si="80">#REF!</f>
        <v>#REF!</v>
      </c>
      <c r="B531" s="47" t="e">
        <f t="shared" si="80"/>
        <v>#REF!</v>
      </c>
      <c r="C531" s="47" t="e">
        <f t="shared" si="80"/>
        <v>#REF!</v>
      </c>
      <c r="D531" s="47" t="e">
        <f t="shared" si="80"/>
        <v>#REF!</v>
      </c>
      <c r="E531" s="47" t="e">
        <f t="shared" si="80"/>
        <v>#REF!</v>
      </c>
      <c r="F531" s="47" t="e">
        <f t="shared" si="80"/>
        <v>#REF!</v>
      </c>
      <c r="G531" s="47" t="e">
        <f t="shared" si="80"/>
        <v>#REF!</v>
      </c>
      <c r="H531" s="47" t="e">
        <f t="shared" si="80"/>
        <v>#REF!</v>
      </c>
    </row>
    <row r="532" spans="1:8" ht="12.75" hidden="1" x14ac:dyDescent="0.2">
      <c r="A532" s="47" t="e">
        <f t="shared" ref="A532:H532" si="81">#REF!</f>
        <v>#REF!</v>
      </c>
      <c r="B532" s="47" t="e">
        <f t="shared" si="81"/>
        <v>#REF!</v>
      </c>
      <c r="C532" s="47" t="e">
        <f t="shared" si="81"/>
        <v>#REF!</v>
      </c>
      <c r="D532" s="47" t="e">
        <f t="shared" si="81"/>
        <v>#REF!</v>
      </c>
      <c r="E532" s="47" t="e">
        <f t="shared" si="81"/>
        <v>#REF!</v>
      </c>
      <c r="F532" s="47" t="e">
        <f t="shared" si="81"/>
        <v>#REF!</v>
      </c>
      <c r="G532" s="47" t="e">
        <f t="shared" si="81"/>
        <v>#REF!</v>
      </c>
      <c r="H532" s="47" t="e">
        <f t="shared" si="81"/>
        <v>#REF!</v>
      </c>
    </row>
    <row r="533" spans="1:8" ht="12.75" hidden="1" x14ac:dyDescent="0.2">
      <c r="A533" s="47" t="e">
        <f t="shared" ref="A533:H533" si="82">#REF!</f>
        <v>#REF!</v>
      </c>
      <c r="B533" s="47" t="e">
        <f t="shared" si="82"/>
        <v>#REF!</v>
      </c>
      <c r="C533" s="47" t="e">
        <f t="shared" si="82"/>
        <v>#REF!</v>
      </c>
      <c r="D533" s="47" t="e">
        <f t="shared" si="82"/>
        <v>#REF!</v>
      </c>
      <c r="E533" s="47" t="e">
        <f t="shared" si="82"/>
        <v>#REF!</v>
      </c>
      <c r="F533" s="47" t="e">
        <f t="shared" si="82"/>
        <v>#REF!</v>
      </c>
      <c r="G533" s="47" t="e">
        <f t="shared" si="82"/>
        <v>#REF!</v>
      </c>
      <c r="H533" s="47" t="e">
        <f t="shared" si="82"/>
        <v>#REF!</v>
      </c>
    </row>
    <row r="534" spans="1:8" ht="12.75" hidden="1" x14ac:dyDescent="0.2">
      <c r="A534" s="47" t="e">
        <f t="shared" ref="A534:H534" si="83">#REF!</f>
        <v>#REF!</v>
      </c>
      <c r="B534" s="47" t="e">
        <f t="shared" si="83"/>
        <v>#REF!</v>
      </c>
      <c r="C534" s="47" t="e">
        <f t="shared" si="83"/>
        <v>#REF!</v>
      </c>
      <c r="D534" s="47" t="e">
        <f t="shared" si="83"/>
        <v>#REF!</v>
      </c>
      <c r="E534" s="47" t="e">
        <f t="shared" si="83"/>
        <v>#REF!</v>
      </c>
      <c r="F534" s="47" t="e">
        <f t="shared" si="83"/>
        <v>#REF!</v>
      </c>
      <c r="G534" s="47" t="e">
        <f t="shared" si="83"/>
        <v>#REF!</v>
      </c>
      <c r="H534" s="47" t="e">
        <f t="shared" si="83"/>
        <v>#REF!</v>
      </c>
    </row>
    <row r="535" spans="1:8" ht="12.75" hidden="1" x14ac:dyDescent="0.2">
      <c r="A535" s="47" t="e">
        <f t="shared" ref="A535:H535" si="84">#REF!</f>
        <v>#REF!</v>
      </c>
      <c r="B535" s="47" t="e">
        <f t="shared" si="84"/>
        <v>#REF!</v>
      </c>
      <c r="C535" s="47" t="e">
        <f t="shared" si="84"/>
        <v>#REF!</v>
      </c>
      <c r="D535" s="47" t="e">
        <f t="shared" si="84"/>
        <v>#REF!</v>
      </c>
      <c r="E535" s="47" t="e">
        <f t="shared" si="84"/>
        <v>#REF!</v>
      </c>
      <c r="F535" s="47" t="e">
        <f t="shared" si="84"/>
        <v>#REF!</v>
      </c>
      <c r="G535" s="47" t="e">
        <f t="shared" si="84"/>
        <v>#REF!</v>
      </c>
      <c r="H535" s="47" t="e">
        <f t="shared" si="84"/>
        <v>#REF!</v>
      </c>
    </row>
    <row r="536" spans="1:8" ht="12.75" hidden="1" x14ac:dyDescent="0.2">
      <c r="A536" s="47" t="e">
        <f t="shared" ref="A536:H536" si="85">#REF!</f>
        <v>#REF!</v>
      </c>
      <c r="B536" s="47" t="e">
        <f t="shared" si="85"/>
        <v>#REF!</v>
      </c>
      <c r="C536" s="47" t="e">
        <f t="shared" si="85"/>
        <v>#REF!</v>
      </c>
      <c r="D536" s="47" t="e">
        <f t="shared" si="85"/>
        <v>#REF!</v>
      </c>
      <c r="E536" s="47" t="e">
        <f t="shared" si="85"/>
        <v>#REF!</v>
      </c>
      <c r="F536" s="47" t="e">
        <f t="shared" si="85"/>
        <v>#REF!</v>
      </c>
      <c r="G536" s="47" t="e">
        <f t="shared" si="85"/>
        <v>#REF!</v>
      </c>
      <c r="H536" s="47" t="e">
        <f t="shared" si="85"/>
        <v>#REF!</v>
      </c>
    </row>
    <row r="537" spans="1:8" ht="12.75" hidden="1" x14ac:dyDescent="0.2">
      <c r="A537" s="47" t="e">
        <f t="shared" ref="A537:H537" si="86">#REF!</f>
        <v>#REF!</v>
      </c>
      <c r="B537" s="47" t="e">
        <f t="shared" si="86"/>
        <v>#REF!</v>
      </c>
      <c r="C537" s="47" t="e">
        <f t="shared" si="86"/>
        <v>#REF!</v>
      </c>
      <c r="D537" s="47" t="e">
        <f t="shared" si="86"/>
        <v>#REF!</v>
      </c>
      <c r="E537" s="47" t="e">
        <f t="shared" si="86"/>
        <v>#REF!</v>
      </c>
      <c r="F537" s="47" t="e">
        <f t="shared" si="86"/>
        <v>#REF!</v>
      </c>
      <c r="G537" s="47" t="e">
        <f t="shared" si="86"/>
        <v>#REF!</v>
      </c>
      <c r="H537" s="47" t="e">
        <f t="shared" si="86"/>
        <v>#REF!</v>
      </c>
    </row>
    <row r="538" spans="1:8" ht="12.75" hidden="1" x14ac:dyDescent="0.2">
      <c r="A538" s="47" t="e">
        <f t="shared" ref="A538:H538" si="87">#REF!</f>
        <v>#REF!</v>
      </c>
      <c r="B538" s="47" t="e">
        <f t="shared" si="87"/>
        <v>#REF!</v>
      </c>
      <c r="C538" s="47" t="e">
        <f t="shared" si="87"/>
        <v>#REF!</v>
      </c>
      <c r="D538" s="47" t="e">
        <f t="shared" si="87"/>
        <v>#REF!</v>
      </c>
      <c r="E538" s="47" t="e">
        <f t="shared" si="87"/>
        <v>#REF!</v>
      </c>
      <c r="F538" s="47" t="e">
        <f t="shared" si="87"/>
        <v>#REF!</v>
      </c>
      <c r="G538" s="47" t="e">
        <f t="shared" si="87"/>
        <v>#REF!</v>
      </c>
      <c r="H538" s="47" t="e">
        <f t="shared" si="87"/>
        <v>#REF!</v>
      </c>
    </row>
    <row r="539" spans="1:8" ht="12.75" hidden="1" x14ac:dyDescent="0.2">
      <c r="A539" s="47" t="e">
        <f t="shared" ref="A539:H539" si="88">#REF!</f>
        <v>#REF!</v>
      </c>
      <c r="B539" s="47" t="e">
        <f t="shared" si="88"/>
        <v>#REF!</v>
      </c>
      <c r="C539" s="47" t="e">
        <f t="shared" si="88"/>
        <v>#REF!</v>
      </c>
      <c r="D539" s="47" t="e">
        <f t="shared" si="88"/>
        <v>#REF!</v>
      </c>
      <c r="E539" s="47" t="e">
        <f t="shared" si="88"/>
        <v>#REF!</v>
      </c>
      <c r="F539" s="47" t="e">
        <f t="shared" si="88"/>
        <v>#REF!</v>
      </c>
      <c r="G539" s="47" t="e">
        <f t="shared" si="88"/>
        <v>#REF!</v>
      </c>
      <c r="H539" s="47" t="e">
        <f t="shared" si="88"/>
        <v>#REF!</v>
      </c>
    </row>
    <row r="540" spans="1:8" ht="12.75" hidden="1" x14ac:dyDescent="0.2">
      <c r="A540" s="47" t="e">
        <f t="shared" ref="A540:H540" si="89">#REF!</f>
        <v>#REF!</v>
      </c>
      <c r="B540" s="47" t="e">
        <f t="shared" si="89"/>
        <v>#REF!</v>
      </c>
      <c r="C540" s="47" t="e">
        <f t="shared" si="89"/>
        <v>#REF!</v>
      </c>
      <c r="D540" s="47" t="e">
        <f t="shared" si="89"/>
        <v>#REF!</v>
      </c>
      <c r="E540" s="47" t="e">
        <f t="shared" si="89"/>
        <v>#REF!</v>
      </c>
      <c r="F540" s="47" t="e">
        <f t="shared" si="89"/>
        <v>#REF!</v>
      </c>
      <c r="G540" s="47" t="e">
        <f t="shared" si="89"/>
        <v>#REF!</v>
      </c>
      <c r="H540" s="47" t="e">
        <f t="shared" si="89"/>
        <v>#REF!</v>
      </c>
    </row>
    <row r="541" spans="1:8" ht="12.75" hidden="1" x14ac:dyDescent="0.2">
      <c r="A541" s="47" t="e">
        <f t="shared" ref="A541:H541" si="90">#REF!</f>
        <v>#REF!</v>
      </c>
      <c r="B541" s="47" t="e">
        <f t="shared" si="90"/>
        <v>#REF!</v>
      </c>
      <c r="C541" s="47" t="e">
        <f t="shared" si="90"/>
        <v>#REF!</v>
      </c>
      <c r="D541" s="47" t="e">
        <f t="shared" si="90"/>
        <v>#REF!</v>
      </c>
      <c r="E541" s="47" t="e">
        <f t="shared" si="90"/>
        <v>#REF!</v>
      </c>
      <c r="F541" s="47" t="e">
        <f t="shared" si="90"/>
        <v>#REF!</v>
      </c>
      <c r="G541" s="47" t="e">
        <f t="shared" si="90"/>
        <v>#REF!</v>
      </c>
      <c r="H541" s="47" t="e">
        <f t="shared" si="90"/>
        <v>#REF!</v>
      </c>
    </row>
    <row r="542" spans="1:8" ht="12.75" hidden="1" x14ac:dyDescent="0.2">
      <c r="A542" s="47" t="e">
        <f t="shared" ref="A542:H542" si="91">#REF!</f>
        <v>#REF!</v>
      </c>
      <c r="B542" s="47" t="e">
        <f t="shared" si="91"/>
        <v>#REF!</v>
      </c>
      <c r="C542" s="47" t="e">
        <f t="shared" si="91"/>
        <v>#REF!</v>
      </c>
      <c r="D542" s="47" t="e">
        <f t="shared" si="91"/>
        <v>#REF!</v>
      </c>
      <c r="E542" s="47" t="e">
        <f t="shared" si="91"/>
        <v>#REF!</v>
      </c>
      <c r="F542" s="47" t="e">
        <f t="shared" si="91"/>
        <v>#REF!</v>
      </c>
      <c r="G542" s="47" t="e">
        <f t="shared" si="91"/>
        <v>#REF!</v>
      </c>
      <c r="H542" s="47" t="e">
        <f t="shared" si="91"/>
        <v>#REF!</v>
      </c>
    </row>
    <row r="543" spans="1:8" ht="12.75" hidden="1" x14ac:dyDescent="0.2">
      <c r="A543" s="47" t="e">
        <f t="shared" ref="A543:H543" si="92">#REF!</f>
        <v>#REF!</v>
      </c>
      <c r="B543" s="47" t="e">
        <f t="shared" si="92"/>
        <v>#REF!</v>
      </c>
      <c r="C543" s="47" t="e">
        <f t="shared" si="92"/>
        <v>#REF!</v>
      </c>
      <c r="D543" s="47" t="e">
        <f t="shared" si="92"/>
        <v>#REF!</v>
      </c>
      <c r="E543" s="47" t="e">
        <f t="shared" si="92"/>
        <v>#REF!</v>
      </c>
      <c r="F543" s="47" t="e">
        <f t="shared" si="92"/>
        <v>#REF!</v>
      </c>
      <c r="G543" s="47" t="e">
        <f t="shared" si="92"/>
        <v>#REF!</v>
      </c>
      <c r="H543" s="47" t="e">
        <f t="shared" si="92"/>
        <v>#REF!</v>
      </c>
    </row>
    <row r="544" spans="1:8" ht="12.75" hidden="1" x14ac:dyDescent="0.2">
      <c r="A544" s="47" t="e">
        <f t="shared" ref="A544:H544" si="93">#REF!</f>
        <v>#REF!</v>
      </c>
      <c r="B544" s="47" t="e">
        <f t="shared" si="93"/>
        <v>#REF!</v>
      </c>
      <c r="C544" s="47" t="e">
        <f t="shared" si="93"/>
        <v>#REF!</v>
      </c>
      <c r="D544" s="47" t="e">
        <f t="shared" si="93"/>
        <v>#REF!</v>
      </c>
      <c r="E544" s="47" t="e">
        <f t="shared" si="93"/>
        <v>#REF!</v>
      </c>
      <c r="F544" s="47" t="e">
        <f t="shared" si="93"/>
        <v>#REF!</v>
      </c>
      <c r="G544" s="47" t="e">
        <f t="shared" si="93"/>
        <v>#REF!</v>
      </c>
      <c r="H544" s="47" t="e">
        <f t="shared" si="93"/>
        <v>#REF!</v>
      </c>
    </row>
    <row r="545" spans="1:8" ht="12.75" hidden="1" x14ac:dyDescent="0.2">
      <c r="A545" s="47" t="e">
        <f t="shared" ref="A545:H545" si="94">#REF!</f>
        <v>#REF!</v>
      </c>
      <c r="B545" s="47" t="e">
        <f t="shared" si="94"/>
        <v>#REF!</v>
      </c>
      <c r="C545" s="47" t="e">
        <f t="shared" si="94"/>
        <v>#REF!</v>
      </c>
      <c r="D545" s="47" t="e">
        <f t="shared" si="94"/>
        <v>#REF!</v>
      </c>
      <c r="E545" s="47" t="e">
        <f t="shared" si="94"/>
        <v>#REF!</v>
      </c>
      <c r="F545" s="47" t="e">
        <f t="shared" si="94"/>
        <v>#REF!</v>
      </c>
      <c r="G545" s="47" t="e">
        <f t="shared" si="94"/>
        <v>#REF!</v>
      </c>
      <c r="H545" s="47" t="e">
        <f t="shared" si="94"/>
        <v>#REF!</v>
      </c>
    </row>
    <row r="546" spans="1:8" ht="12.75" hidden="1" x14ac:dyDescent="0.2">
      <c r="A546" s="47" t="e">
        <f t="shared" ref="A546:H546" si="95">#REF!</f>
        <v>#REF!</v>
      </c>
      <c r="B546" s="47" t="e">
        <f t="shared" si="95"/>
        <v>#REF!</v>
      </c>
      <c r="C546" s="47" t="e">
        <f t="shared" si="95"/>
        <v>#REF!</v>
      </c>
      <c r="D546" s="47" t="e">
        <f t="shared" si="95"/>
        <v>#REF!</v>
      </c>
      <c r="E546" s="47" t="e">
        <f t="shared" si="95"/>
        <v>#REF!</v>
      </c>
      <c r="F546" s="47" t="e">
        <f t="shared" si="95"/>
        <v>#REF!</v>
      </c>
      <c r="G546" s="47" t="e">
        <f t="shared" si="95"/>
        <v>#REF!</v>
      </c>
      <c r="H546" s="47" t="e">
        <f t="shared" si="95"/>
        <v>#REF!</v>
      </c>
    </row>
    <row r="547" spans="1:8" ht="12.75" hidden="1" x14ac:dyDescent="0.2">
      <c r="A547" s="47" t="e">
        <f t="shared" ref="A547:H547" si="96">#REF!</f>
        <v>#REF!</v>
      </c>
      <c r="B547" s="47" t="e">
        <f t="shared" si="96"/>
        <v>#REF!</v>
      </c>
      <c r="C547" s="47" t="e">
        <f t="shared" si="96"/>
        <v>#REF!</v>
      </c>
      <c r="D547" s="47" t="e">
        <f t="shared" si="96"/>
        <v>#REF!</v>
      </c>
      <c r="E547" s="47" t="e">
        <f t="shared" si="96"/>
        <v>#REF!</v>
      </c>
      <c r="F547" s="47" t="e">
        <f t="shared" si="96"/>
        <v>#REF!</v>
      </c>
      <c r="G547" s="47" t="e">
        <f t="shared" si="96"/>
        <v>#REF!</v>
      </c>
      <c r="H547" s="47" t="e">
        <f t="shared" si="96"/>
        <v>#REF!</v>
      </c>
    </row>
    <row r="548" spans="1:8" ht="12.75" hidden="1" x14ac:dyDescent="0.2">
      <c r="A548" s="47" t="e">
        <f t="shared" ref="A548:H548" si="97">#REF!</f>
        <v>#REF!</v>
      </c>
      <c r="B548" s="47" t="e">
        <f t="shared" si="97"/>
        <v>#REF!</v>
      </c>
      <c r="C548" s="47" t="e">
        <f t="shared" si="97"/>
        <v>#REF!</v>
      </c>
      <c r="D548" s="47" t="e">
        <f t="shared" si="97"/>
        <v>#REF!</v>
      </c>
      <c r="E548" s="47" t="e">
        <f t="shared" si="97"/>
        <v>#REF!</v>
      </c>
      <c r="F548" s="47" t="e">
        <f t="shared" si="97"/>
        <v>#REF!</v>
      </c>
      <c r="G548" s="47" t="e">
        <f t="shared" si="97"/>
        <v>#REF!</v>
      </c>
      <c r="H548" s="47" t="e">
        <f t="shared" si="97"/>
        <v>#REF!</v>
      </c>
    </row>
    <row r="549" spans="1:8" ht="12.75" hidden="1" x14ac:dyDescent="0.2">
      <c r="A549" s="47" t="e">
        <f t="shared" ref="A549:H549" si="98">#REF!</f>
        <v>#REF!</v>
      </c>
      <c r="B549" s="47" t="e">
        <f t="shared" si="98"/>
        <v>#REF!</v>
      </c>
      <c r="C549" s="47" t="e">
        <f t="shared" si="98"/>
        <v>#REF!</v>
      </c>
      <c r="D549" s="47" t="e">
        <f t="shared" si="98"/>
        <v>#REF!</v>
      </c>
      <c r="E549" s="47" t="e">
        <f t="shared" si="98"/>
        <v>#REF!</v>
      </c>
      <c r="F549" s="47" t="e">
        <f t="shared" si="98"/>
        <v>#REF!</v>
      </c>
      <c r="G549" s="47" t="e">
        <f t="shared" si="98"/>
        <v>#REF!</v>
      </c>
      <c r="H549" s="47" t="e">
        <f t="shared" si="98"/>
        <v>#REF!</v>
      </c>
    </row>
    <row r="550" spans="1:8" ht="12.75" hidden="1" x14ac:dyDescent="0.2">
      <c r="A550" s="47" t="e">
        <f t="shared" ref="A550:H550" si="99">#REF!</f>
        <v>#REF!</v>
      </c>
      <c r="B550" s="47" t="e">
        <f t="shared" si="99"/>
        <v>#REF!</v>
      </c>
      <c r="C550" s="47" t="e">
        <f t="shared" si="99"/>
        <v>#REF!</v>
      </c>
      <c r="D550" s="47" t="e">
        <f t="shared" si="99"/>
        <v>#REF!</v>
      </c>
      <c r="E550" s="47" t="e">
        <f t="shared" si="99"/>
        <v>#REF!</v>
      </c>
      <c r="F550" s="47" t="e">
        <f t="shared" si="99"/>
        <v>#REF!</v>
      </c>
      <c r="G550" s="47" t="e">
        <f t="shared" si="99"/>
        <v>#REF!</v>
      </c>
      <c r="H550" s="47" t="e">
        <f t="shared" si="99"/>
        <v>#REF!</v>
      </c>
    </row>
    <row r="551" spans="1:8" ht="12.75" hidden="1" x14ac:dyDescent="0.2">
      <c r="A551" s="47" t="e">
        <f t="shared" ref="A551:H551" si="100">#REF!</f>
        <v>#REF!</v>
      </c>
      <c r="B551" s="47" t="e">
        <f t="shared" si="100"/>
        <v>#REF!</v>
      </c>
      <c r="C551" s="47" t="e">
        <f t="shared" si="100"/>
        <v>#REF!</v>
      </c>
      <c r="D551" s="47" t="e">
        <f t="shared" si="100"/>
        <v>#REF!</v>
      </c>
      <c r="E551" s="47" t="e">
        <f t="shared" si="100"/>
        <v>#REF!</v>
      </c>
      <c r="F551" s="47" t="e">
        <f t="shared" si="100"/>
        <v>#REF!</v>
      </c>
      <c r="G551" s="47" t="e">
        <f t="shared" si="100"/>
        <v>#REF!</v>
      </c>
      <c r="H551" s="47" t="e">
        <f t="shared" si="100"/>
        <v>#REF!</v>
      </c>
    </row>
    <row r="552" spans="1:8" ht="12.75" hidden="1" x14ac:dyDescent="0.2">
      <c r="A552" s="47" t="e">
        <f t="shared" ref="A552:H552" si="101">#REF!</f>
        <v>#REF!</v>
      </c>
      <c r="B552" s="47" t="e">
        <f t="shared" si="101"/>
        <v>#REF!</v>
      </c>
      <c r="C552" s="47" t="e">
        <f t="shared" si="101"/>
        <v>#REF!</v>
      </c>
      <c r="D552" s="47" t="e">
        <f t="shared" si="101"/>
        <v>#REF!</v>
      </c>
      <c r="E552" s="47" t="e">
        <f t="shared" si="101"/>
        <v>#REF!</v>
      </c>
      <c r="F552" s="47" t="e">
        <f t="shared" si="101"/>
        <v>#REF!</v>
      </c>
      <c r="G552" s="47" t="e">
        <f t="shared" si="101"/>
        <v>#REF!</v>
      </c>
      <c r="H552" s="47" t="e">
        <f t="shared" si="101"/>
        <v>#REF!</v>
      </c>
    </row>
    <row r="553" spans="1:8" ht="12.75" hidden="1" x14ac:dyDescent="0.2">
      <c r="A553" s="47" t="e">
        <f t="shared" ref="A553:H553" si="102">#REF!</f>
        <v>#REF!</v>
      </c>
      <c r="B553" s="47" t="e">
        <f t="shared" si="102"/>
        <v>#REF!</v>
      </c>
      <c r="C553" s="47" t="e">
        <f t="shared" si="102"/>
        <v>#REF!</v>
      </c>
      <c r="D553" s="47" t="e">
        <f t="shared" si="102"/>
        <v>#REF!</v>
      </c>
      <c r="E553" s="47" t="e">
        <f t="shared" si="102"/>
        <v>#REF!</v>
      </c>
      <c r="F553" s="47" t="e">
        <f t="shared" si="102"/>
        <v>#REF!</v>
      </c>
      <c r="G553" s="47" t="e">
        <f t="shared" si="102"/>
        <v>#REF!</v>
      </c>
      <c r="H553" s="47" t="e">
        <f t="shared" si="102"/>
        <v>#REF!</v>
      </c>
    </row>
    <row r="554" spans="1:8" ht="12.75" hidden="1" x14ac:dyDescent="0.2">
      <c r="A554" s="47" t="e">
        <f t="shared" ref="A554:H554" si="103">#REF!</f>
        <v>#REF!</v>
      </c>
      <c r="B554" s="47" t="e">
        <f t="shared" si="103"/>
        <v>#REF!</v>
      </c>
      <c r="C554" s="47" t="e">
        <f t="shared" si="103"/>
        <v>#REF!</v>
      </c>
      <c r="D554" s="47" t="e">
        <f t="shared" si="103"/>
        <v>#REF!</v>
      </c>
      <c r="E554" s="47" t="e">
        <f t="shared" si="103"/>
        <v>#REF!</v>
      </c>
      <c r="F554" s="47" t="e">
        <f t="shared" si="103"/>
        <v>#REF!</v>
      </c>
      <c r="G554" s="47" t="e">
        <f t="shared" si="103"/>
        <v>#REF!</v>
      </c>
      <c r="H554" s="47" t="e">
        <f t="shared" si="103"/>
        <v>#REF!</v>
      </c>
    </row>
    <row r="555" spans="1:8" ht="12.75" hidden="1" x14ac:dyDescent="0.2">
      <c r="A555" s="47" t="e">
        <f t="shared" ref="A555:H555" si="104">#REF!</f>
        <v>#REF!</v>
      </c>
      <c r="B555" s="47" t="e">
        <f t="shared" si="104"/>
        <v>#REF!</v>
      </c>
      <c r="C555" s="47" t="e">
        <f t="shared" si="104"/>
        <v>#REF!</v>
      </c>
      <c r="D555" s="47" t="e">
        <f t="shared" si="104"/>
        <v>#REF!</v>
      </c>
      <c r="E555" s="47" t="e">
        <f t="shared" si="104"/>
        <v>#REF!</v>
      </c>
      <c r="F555" s="47" t="e">
        <f t="shared" si="104"/>
        <v>#REF!</v>
      </c>
      <c r="G555" s="47" t="e">
        <f t="shared" si="104"/>
        <v>#REF!</v>
      </c>
      <c r="H555" s="47" t="e">
        <f t="shared" si="104"/>
        <v>#REF!</v>
      </c>
    </row>
    <row r="556" spans="1:8" ht="12.75" hidden="1" x14ac:dyDescent="0.2">
      <c r="A556" s="47" t="e">
        <f t="shared" ref="A556:H556" si="105">#REF!</f>
        <v>#REF!</v>
      </c>
      <c r="B556" s="47" t="e">
        <f t="shared" si="105"/>
        <v>#REF!</v>
      </c>
      <c r="C556" s="47" t="e">
        <f t="shared" si="105"/>
        <v>#REF!</v>
      </c>
      <c r="D556" s="47" t="e">
        <f t="shared" si="105"/>
        <v>#REF!</v>
      </c>
      <c r="E556" s="47" t="e">
        <f t="shared" si="105"/>
        <v>#REF!</v>
      </c>
      <c r="F556" s="47" t="e">
        <f t="shared" si="105"/>
        <v>#REF!</v>
      </c>
      <c r="G556" s="47" t="e">
        <f t="shared" si="105"/>
        <v>#REF!</v>
      </c>
      <c r="H556" s="47" t="e">
        <f t="shared" si="105"/>
        <v>#REF!</v>
      </c>
    </row>
    <row r="557" spans="1:8" ht="12.75" hidden="1" x14ac:dyDescent="0.2">
      <c r="A557" s="47" t="e">
        <f t="shared" ref="A557:H557" si="106">#REF!</f>
        <v>#REF!</v>
      </c>
      <c r="B557" s="47" t="e">
        <f t="shared" si="106"/>
        <v>#REF!</v>
      </c>
      <c r="C557" s="47" t="e">
        <f t="shared" si="106"/>
        <v>#REF!</v>
      </c>
      <c r="D557" s="47" t="e">
        <f t="shared" si="106"/>
        <v>#REF!</v>
      </c>
      <c r="E557" s="47" t="e">
        <f t="shared" si="106"/>
        <v>#REF!</v>
      </c>
      <c r="F557" s="47" t="e">
        <f t="shared" si="106"/>
        <v>#REF!</v>
      </c>
      <c r="G557" s="47" t="e">
        <f t="shared" si="106"/>
        <v>#REF!</v>
      </c>
      <c r="H557" s="47" t="e">
        <f t="shared" si="106"/>
        <v>#REF!</v>
      </c>
    </row>
    <row r="558" spans="1:8" ht="12.75" hidden="1" x14ac:dyDescent="0.2">
      <c r="A558" s="47" t="e">
        <f t="shared" ref="A558:H558" si="107">#REF!</f>
        <v>#REF!</v>
      </c>
      <c r="B558" s="47" t="e">
        <f t="shared" si="107"/>
        <v>#REF!</v>
      </c>
      <c r="C558" s="47" t="e">
        <f t="shared" si="107"/>
        <v>#REF!</v>
      </c>
      <c r="D558" s="47" t="e">
        <f t="shared" si="107"/>
        <v>#REF!</v>
      </c>
      <c r="E558" s="47" t="e">
        <f t="shared" si="107"/>
        <v>#REF!</v>
      </c>
      <c r="F558" s="47" t="e">
        <f t="shared" si="107"/>
        <v>#REF!</v>
      </c>
      <c r="G558" s="47" t="e">
        <f t="shared" si="107"/>
        <v>#REF!</v>
      </c>
      <c r="H558" s="47" t="e">
        <f t="shared" si="107"/>
        <v>#REF!</v>
      </c>
    </row>
    <row r="559" spans="1:8" ht="12.75" hidden="1" x14ac:dyDescent="0.2">
      <c r="A559" s="47" t="e">
        <f t="shared" ref="A559:H559" si="108">#REF!</f>
        <v>#REF!</v>
      </c>
      <c r="B559" s="47" t="e">
        <f t="shared" si="108"/>
        <v>#REF!</v>
      </c>
      <c r="C559" s="47" t="e">
        <f t="shared" si="108"/>
        <v>#REF!</v>
      </c>
      <c r="D559" s="47" t="e">
        <f t="shared" si="108"/>
        <v>#REF!</v>
      </c>
      <c r="E559" s="47" t="e">
        <f t="shared" si="108"/>
        <v>#REF!</v>
      </c>
      <c r="F559" s="47" t="e">
        <f t="shared" si="108"/>
        <v>#REF!</v>
      </c>
      <c r="G559" s="47" t="e">
        <f t="shared" si="108"/>
        <v>#REF!</v>
      </c>
      <c r="H559" s="47" t="e">
        <f t="shared" si="108"/>
        <v>#REF!</v>
      </c>
    </row>
    <row r="560" spans="1:8" ht="12.75" hidden="1" x14ac:dyDescent="0.2">
      <c r="A560" s="47" t="e">
        <f t="shared" ref="A560:H560" si="109">#REF!</f>
        <v>#REF!</v>
      </c>
      <c r="B560" s="47" t="e">
        <f t="shared" si="109"/>
        <v>#REF!</v>
      </c>
      <c r="C560" s="47" t="e">
        <f t="shared" si="109"/>
        <v>#REF!</v>
      </c>
      <c r="D560" s="47" t="e">
        <f t="shared" si="109"/>
        <v>#REF!</v>
      </c>
      <c r="E560" s="47" t="e">
        <f t="shared" si="109"/>
        <v>#REF!</v>
      </c>
      <c r="F560" s="47" t="e">
        <f t="shared" si="109"/>
        <v>#REF!</v>
      </c>
      <c r="G560" s="47" t="e">
        <f t="shared" si="109"/>
        <v>#REF!</v>
      </c>
      <c r="H560" s="47" t="e">
        <f t="shared" si="109"/>
        <v>#REF!</v>
      </c>
    </row>
    <row r="561" spans="1:8" ht="12.75" hidden="1" x14ac:dyDescent="0.2">
      <c r="A561" s="47" t="e">
        <f t="shared" ref="A561:H561" si="110">#REF!</f>
        <v>#REF!</v>
      </c>
      <c r="B561" s="47" t="e">
        <f t="shared" si="110"/>
        <v>#REF!</v>
      </c>
      <c r="C561" s="47" t="e">
        <f t="shared" si="110"/>
        <v>#REF!</v>
      </c>
      <c r="D561" s="47" t="e">
        <f t="shared" si="110"/>
        <v>#REF!</v>
      </c>
      <c r="E561" s="47" t="e">
        <f t="shared" si="110"/>
        <v>#REF!</v>
      </c>
      <c r="F561" s="47" t="e">
        <f t="shared" si="110"/>
        <v>#REF!</v>
      </c>
      <c r="G561" s="47" t="e">
        <f t="shared" si="110"/>
        <v>#REF!</v>
      </c>
      <c r="H561" s="47" t="e">
        <f t="shared" si="110"/>
        <v>#REF!</v>
      </c>
    </row>
    <row r="562" spans="1:8" ht="12.75" hidden="1" x14ac:dyDescent="0.2">
      <c r="A562" s="47" t="e">
        <f t="shared" ref="A562:H562" si="111">#REF!</f>
        <v>#REF!</v>
      </c>
      <c r="B562" s="47" t="e">
        <f t="shared" si="111"/>
        <v>#REF!</v>
      </c>
      <c r="C562" s="47" t="e">
        <f t="shared" si="111"/>
        <v>#REF!</v>
      </c>
      <c r="D562" s="47" t="e">
        <f t="shared" si="111"/>
        <v>#REF!</v>
      </c>
      <c r="E562" s="47" t="e">
        <f t="shared" si="111"/>
        <v>#REF!</v>
      </c>
      <c r="F562" s="47" t="e">
        <f t="shared" si="111"/>
        <v>#REF!</v>
      </c>
      <c r="G562" s="47" t="e">
        <f t="shared" si="111"/>
        <v>#REF!</v>
      </c>
      <c r="H562" s="47" t="e">
        <f t="shared" si="111"/>
        <v>#REF!</v>
      </c>
    </row>
    <row r="563" spans="1:8" ht="12.75" hidden="1" x14ac:dyDescent="0.2">
      <c r="A563" s="47" t="e">
        <f t="shared" ref="A563:H563" si="112">#REF!</f>
        <v>#REF!</v>
      </c>
      <c r="B563" s="47" t="e">
        <f t="shared" si="112"/>
        <v>#REF!</v>
      </c>
      <c r="C563" s="47" t="e">
        <f t="shared" si="112"/>
        <v>#REF!</v>
      </c>
      <c r="D563" s="47" t="e">
        <f t="shared" si="112"/>
        <v>#REF!</v>
      </c>
      <c r="E563" s="47" t="e">
        <f t="shared" si="112"/>
        <v>#REF!</v>
      </c>
      <c r="F563" s="47" t="e">
        <f t="shared" si="112"/>
        <v>#REF!</v>
      </c>
      <c r="G563" s="47" t="e">
        <f t="shared" si="112"/>
        <v>#REF!</v>
      </c>
      <c r="H563" s="47" t="e">
        <f t="shared" si="112"/>
        <v>#REF!</v>
      </c>
    </row>
    <row r="564" spans="1:8" ht="12.75" hidden="1" x14ac:dyDescent="0.2">
      <c r="A564" s="47" t="e">
        <f t="shared" ref="A564:H564" si="113">#REF!</f>
        <v>#REF!</v>
      </c>
      <c r="B564" s="47" t="e">
        <f t="shared" si="113"/>
        <v>#REF!</v>
      </c>
      <c r="C564" s="47" t="e">
        <f t="shared" si="113"/>
        <v>#REF!</v>
      </c>
      <c r="D564" s="47" t="e">
        <f t="shared" si="113"/>
        <v>#REF!</v>
      </c>
      <c r="E564" s="47" t="e">
        <f t="shared" si="113"/>
        <v>#REF!</v>
      </c>
      <c r="F564" s="47" t="e">
        <f t="shared" si="113"/>
        <v>#REF!</v>
      </c>
      <c r="G564" s="47" t="e">
        <f t="shared" si="113"/>
        <v>#REF!</v>
      </c>
      <c r="H564" s="47" t="e">
        <f t="shared" si="113"/>
        <v>#REF!</v>
      </c>
    </row>
    <row r="565" spans="1:8" ht="12.75" hidden="1" x14ac:dyDescent="0.2">
      <c r="A565" s="47" t="e">
        <f t="shared" ref="A565:H565" si="114">#REF!</f>
        <v>#REF!</v>
      </c>
      <c r="B565" s="47" t="e">
        <f t="shared" si="114"/>
        <v>#REF!</v>
      </c>
      <c r="C565" s="47" t="e">
        <f t="shared" si="114"/>
        <v>#REF!</v>
      </c>
      <c r="D565" s="47" t="e">
        <f t="shared" si="114"/>
        <v>#REF!</v>
      </c>
      <c r="E565" s="47" t="e">
        <f t="shared" si="114"/>
        <v>#REF!</v>
      </c>
      <c r="F565" s="47" t="e">
        <f t="shared" si="114"/>
        <v>#REF!</v>
      </c>
      <c r="G565" s="47" t="e">
        <f t="shared" si="114"/>
        <v>#REF!</v>
      </c>
      <c r="H565" s="47" t="e">
        <f t="shared" si="114"/>
        <v>#REF!</v>
      </c>
    </row>
    <row r="566" spans="1:8" ht="12.75" hidden="1" x14ac:dyDescent="0.2">
      <c r="A566" s="47" t="e">
        <f t="shared" ref="A566:H566" si="115">#REF!</f>
        <v>#REF!</v>
      </c>
      <c r="B566" s="47" t="e">
        <f t="shared" si="115"/>
        <v>#REF!</v>
      </c>
      <c r="C566" s="47" t="e">
        <f t="shared" si="115"/>
        <v>#REF!</v>
      </c>
      <c r="D566" s="47" t="e">
        <f t="shared" si="115"/>
        <v>#REF!</v>
      </c>
      <c r="E566" s="47" t="e">
        <f t="shared" si="115"/>
        <v>#REF!</v>
      </c>
      <c r="F566" s="47" t="e">
        <f t="shared" si="115"/>
        <v>#REF!</v>
      </c>
      <c r="G566" s="47" t="e">
        <f t="shared" si="115"/>
        <v>#REF!</v>
      </c>
      <c r="H566" s="47" t="e">
        <f t="shared" si="115"/>
        <v>#REF!</v>
      </c>
    </row>
    <row r="567" spans="1:8" ht="12.75" hidden="1" x14ac:dyDescent="0.2">
      <c r="A567" s="47" t="e">
        <f t="shared" ref="A567:H567" si="116">#REF!</f>
        <v>#REF!</v>
      </c>
      <c r="B567" s="47" t="e">
        <f t="shared" si="116"/>
        <v>#REF!</v>
      </c>
      <c r="C567" s="47" t="e">
        <f t="shared" si="116"/>
        <v>#REF!</v>
      </c>
      <c r="D567" s="47" t="e">
        <f t="shared" si="116"/>
        <v>#REF!</v>
      </c>
      <c r="E567" s="47" t="e">
        <f t="shared" si="116"/>
        <v>#REF!</v>
      </c>
      <c r="F567" s="47" t="e">
        <f t="shared" si="116"/>
        <v>#REF!</v>
      </c>
      <c r="G567" s="47" t="e">
        <f t="shared" si="116"/>
        <v>#REF!</v>
      </c>
      <c r="H567" s="47" t="e">
        <f t="shared" si="116"/>
        <v>#REF!</v>
      </c>
    </row>
    <row r="568" spans="1:8" ht="12.75" hidden="1" x14ac:dyDescent="0.2">
      <c r="A568" s="47" t="e">
        <f t="shared" ref="A568:H568" si="117">#REF!</f>
        <v>#REF!</v>
      </c>
      <c r="B568" s="47" t="e">
        <f t="shared" si="117"/>
        <v>#REF!</v>
      </c>
      <c r="C568" s="47" t="e">
        <f t="shared" si="117"/>
        <v>#REF!</v>
      </c>
      <c r="D568" s="47" t="e">
        <f t="shared" si="117"/>
        <v>#REF!</v>
      </c>
      <c r="E568" s="47" t="e">
        <f t="shared" si="117"/>
        <v>#REF!</v>
      </c>
      <c r="F568" s="47" t="e">
        <f t="shared" si="117"/>
        <v>#REF!</v>
      </c>
      <c r="G568" s="47" t="e">
        <f t="shared" si="117"/>
        <v>#REF!</v>
      </c>
      <c r="H568" s="47" t="e">
        <f t="shared" si="117"/>
        <v>#REF!</v>
      </c>
    </row>
    <row r="569" spans="1:8" ht="12.75" hidden="1" x14ac:dyDescent="0.2">
      <c r="A569" s="47" t="e">
        <f t="shared" ref="A569:H569" si="118">#REF!</f>
        <v>#REF!</v>
      </c>
      <c r="B569" s="47" t="e">
        <f t="shared" si="118"/>
        <v>#REF!</v>
      </c>
      <c r="C569" s="47" t="e">
        <f t="shared" si="118"/>
        <v>#REF!</v>
      </c>
      <c r="D569" s="47" t="e">
        <f t="shared" si="118"/>
        <v>#REF!</v>
      </c>
      <c r="E569" s="47" t="e">
        <f t="shared" si="118"/>
        <v>#REF!</v>
      </c>
      <c r="F569" s="47" t="e">
        <f t="shared" si="118"/>
        <v>#REF!</v>
      </c>
      <c r="G569" s="47" t="e">
        <f t="shared" si="118"/>
        <v>#REF!</v>
      </c>
      <c r="H569" s="47" t="e">
        <f t="shared" si="118"/>
        <v>#REF!</v>
      </c>
    </row>
    <row r="570" spans="1:8" ht="12.75" hidden="1" x14ac:dyDescent="0.2">
      <c r="A570" s="47" t="e">
        <f t="shared" ref="A570:H570" si="119">#REF!</f>
        <v>#REF!</v>
      </c>
      <c r="B570" s="47" t="e">
        <f t="shared" si="119"/>
        <v>#REF!</v>
      </c>
      <c r="C570" s="47" t="e">
        <f t="shared" si="119"/>
        <v>#REF!</v>
      </c>
      <c r="D570" s="47" t="e">
        <f t="shared" si="119"/>
        <v>#REF!</v>
      </c>
      <c r="E570" s="47" t="e">
        <f t="shared" si="119"/>
        <v>#REF!</v>
      </c>
      <c r="F570" s="47" t="e">
        <f t="shared" si="119"/>
        <v>#REF!</v>
      </c>
      <c r="G570" s="47" t="e">
        <f t="shared" si="119"/>
        <v>#REF!</v>
      </c>
      <c r="H570" s="47" t="e">
        <f t="shared" si="119"/>
        <v>#REF!</v>
      </c>
    </row>
    <row r="571" spans="1:8" ht="12.75" hidden="1" x14ac:dyDescent="0.2">
      <c r="A571" s="47" t="e">
        <f t="shared" ref="A571:H571" si="120">#REF!</f>
        <v>#REF!</v>
      </c>
      <c r="B571" s="47" t="e">
        <f t="shared" si="120"/>
        <v>#REF!</v>
      </c>
      <c r="C571" s="47" t="e">
        <f t="shared" si="120"/>
        <v>#REF!</v>
      </c>
      <c r="D571" s="47" t="e">
        <f t="shared" si="120"/>
        <v>#REF!</v>
      </c>
      <c r="E571" s="47" t="e">
        <f t="shared" si="120"/>
        <v>#REF!</v>
      </c>
      <c r="F571" s="47" t="e">
        <f t="shared" si="120"/>
        <v>#REF!</v>
      </c>
      <c r="G571" s="47" t="e">
        <f t="shared" si="120"/>
        <v>#REF!</v>
      </c>
      <c r="H571" s="47" t="e">
        <f t="shared" si="120"/>
        <v>#REF!</v>
      </c>
    </row>
    <row r="572" spans="1:8" ht="12.75" hidden="1" x14ac:dyDescent="0.2">
      <c r="A572" s="47" t="e">
        <f t="shared" ref="A572:H572" si="121">#REF!</f>
        <v>#REF!</v>
      </c>
      <c r="B572" s="47" t="e">
        <f t="shared" si="121"/>
        <v>#REF!</v>
      </c>
      <c r="C572" s="47" t="e">
        <f t="shared" si="121"/>
        <v>#REF!</v>
      </c>
      <c r="D572" s="47" t="e">
        <f t="shared" si="121"/>
        <v>#REF!</v>
      </c>
      <c r="E572" s="47" t="e">
        <f t="shared" si="121"/>
        <v>#REF!</v>
      </c>
      <c r="F572" s="47" t="e">
        <f t="shared" si="121"/>
        <v>#REF!</v>
      </c>
      <c r="G572" s="47" t="e">
        <f t="shared" si="121"/>
        <v>#REF!</v>
      </c>
      <c r="H572" s="47" t="e">
        <f t="shared" si="121"/>
        <v>#REF!</v>
      </c>
    </row>
    <row r="573" spans="1:8" ht="12.75" hidden="1" x14ac:dyDescent="0.2">
      <c r="A573" s="47" t="e">
        <f t="shared" ref="A573:H573" si="122">#REF!</f>
        <v>#REF!</v>
      </c>
      <c r="B573" s="47" t="e">
        <f t="shared" si="122"/>
        <v>#REF!</v>
      </c>
      <c r="C573" s="47" t="e">
        <f t="shared" si="122"/>
        <v>#REF!</v>
      </c>
      <c r="D573" s="47" t="e">
        <f t="shared" si="122"/>
        <v>#REF!</v>
      </c>
      <c r="E573" s="47" t="e">
        <f t="shared" si="122"/>
        <v>#REF!</v>
      </c>
      <c r="F573" s="47" t="e">
        <f t="shared" si="122"/>
        <v>#REF!</v>
      </c>
      <c r="G573" s="47" t="e">
        <f t="shared" si="122"/>
        <v>#REF!</v>
      </c>
      <c r="H573" s="47" t="e">
        <f t="shared" si="122"/>
        <v>#REF!</v>
      </c>
    </row>
    <row r="574" spans="1:8" ht="12.75" hidden="1" x14ac:dyDescent="0.2">
      <c r="A574" s="47" t="e">
        <f t="shared" ref="A574:H574" si="123">#REF!</f>
        <v>#REF!</v>
      </c>
      <c r="B574" s="47" t="e">
        <f t="shared" si="123"/>
        <v>#REF!</v>
      </c>
      <c r="C574" s="47" t="e">
        <f t="shared" si="123"/>
        <v>#REF!</v>
      </c>
      <c r="D574" s="47" t="e">
        <f t="shared" si="123"/>
        <v>#REF!</v>
      </c>
      <c r="E574" s="47" t="e">
        <f t="shared" si="123"/>
        <v>#REF!</v>
      </c>
      <c r="F574" s="47" t="e">
        <f t="shared" si="123"/>
        <v>#REF!</v>
      </c>
      <c r="G574" s="47" t="e">
        <f t="shared" si="123"/>
        <v>#REF!</v>
      </c>
      <c r="H574" s="47" t="e">
        <f t="shared" si="123"/>
        <v>#REF!</v>
      </c>
    </row>
    <row r="575" spans="1:8" ht="12.75" hidden="1" x14ac:dyDescent="0.2">
      <c r="A575" s="47" t="e">
        <f t="shared" ref="A575:H575" si="124">#REF!</f>
        <v>#REF!</v>
      </c>
      <c r="B575" s="47" t="e">
        <f t="shared" si="124"/>
        <v>#REF!</v>
      </c>
      <c r="C575" s="47" t="e">
        <f t="shared" si="124"/>
        <v>#REF!</v>
      </c>
      <c r="D575" s="47" t="e">
        <f t="shared" si="124"/>
        <v>#REF!</v>
      </c>
      <c r="E575" s="47" t="e">
        <f t="shared" si="124"/>
        <v>#REF!</v>
      </c>
      <c r="F575" s="47" t="e">
        <f t="shared" si="124"/>
        <v>#REF!</v>
      </c>
      <c r="G575" s="47" t="e">
        <f t="shared" si="124"/>
        <v>#REF!</v>
      </c>
      <c r="H575" s="47" t="e">
        <f t="shared" si="124"/>
        <v>#REF!</v>
      </c>
    </row>
    <row r="576" spans="1:8" ht="12.75" hidden="1" x14ac:dyDescent="0.2">
      <c r="A576" s="47" t="e">
        <f t="shared" ref="A576:H576" si="125">#REF!</f>
        <v>#REF!</v>
      </c>
      <c r="B576" s="47" t="e">
        <f t="shared" si="125"/>
        <v>#REF!</v>
      </c>
      <c r="C576" s="47" t="e">
        <f t="shared" si="125"/>
        <v>#REF!</v>
      </c>
      <c r="D576" s="47" t="e">
        <f t="shared" si="125"/>
        <v>#REF!</v>
      </c>
      <c r="E576" s="47" t="e">
        <f t="shared" si="125"/>
        <v>#REF!</v>
      </c>
      <c r="F576" s="47" t="e">
        <f t="shared" si="125"/>
        <v>#REF!</v>
      </c>
      <c r="G576" s="47" t="e">
        <f t="shared" si="125"/>
        <v>#REF!</v>
      </c>
      <c r="H576" s="47" t="e">
        <f t="shared" si="125"/>
        <v>#REF!</v>
      </c>
    </row>
    <row r="577" spans="1:8" ht="12.75" hidden="1" x14ac:dyDescent="0.2">
      <c r="A577" s="47" t="e">
        <f t="shared" ref="A577:H577" si="126">#REF!</f>
        <v>#REF!</v>
      </c>
      <c r="B577" s="47" t="e">
        <f t="shared" si="126"/>
        <v>#REF!</v>
      </c>
      <c r="C577" s="47" t="e">
        <f t="shared" si="126"/>
        <v>#REF!</v>
      </c>
      <c r="D577" s="47" t="e">
        <f t="shared" si="126"/>
        <v>#REF!</v>
      </c>
      <c r="E577" s="47" t="e">
        <f t="shared" si="126"/>
        <v>#REF!</v>
      </c>
      <c r="F577" s="47" t="e">
        <f t="shared" si="126"/>
        <v>#REF!</v>
      </c>
      <c r="G577" s="47" t="e">
        <f t="shared" si="126"/>
        <v>#REF!</v>
      </c>
      <c r="H577" s="47" t="e">
        <f t="shared" si="126"/>
        <v>#REF!</v>
      </c>
    </row>
    <row r="578" spans="1:8" ht="12.75" hidden="1" x14ac:dyDescent="0.2">
      <c r="A578" s="47" t="e">
        <f t="shared" ref="A578:H578" si="127">#REF!</f>
        <v>#REF!</v>
      </c>
      <c r="B578" s="47" t="e">
        <f t="shared" si="127"/>
        <v>#REF!</v>
      </c>
      <c r="C578" s="47" t="e">
        <f t="shared" si="127"/>
        <v>#REF!</v>
      </c>
      <c r="D578" s="47" t="e">
        <f t="shared" si="127"/>
        <v>#REF!</v>
      </c>
      <c r="E578" s="47" t="e">
        <f t="shared" si="127"/>
        <v>#REF!</v>
      </c>
      <c r="F578" s="47" t="e">
        <f t="shared" si="127"/>
        <v>#REF!</v>
      </c>
      <c r="G578" s="47" t="e">
        <f t="shared" si="127"/>
        <v>#REF!</v>
      </c>
      <c r="H578" s="47" t="e">
        <f t="shared" si="127"/>
        <v>#REF!</v>
      </c>
    </row>
    <row r="579" spans="1:8" ht="12.75" hidden="1" x14ac:dyDescent="0.2">
      <c r="A579" s="47" t="e">
        <f t="shared" ref="A579:H579" si="128">#REF!</f>
        <v>#REF!</v>
      </c>
      <c r="B579" s="47" t="e">
        <f t="shared" si="128"/>
        <v>#REF!</v>
      </c>
      <c r="C579" s="47" t="e">
        <f t="shared" si="128"/>
        <v>#REF!</v>
      </c>
      <c r="D579" s="47" t="e">
        <f t="shared" si="128"/>
        <v>#REF!</v>
      </c>
      <c r="E579" s="47" t="e">
        <f t="shared" si="128"/>
        <v>#REF!</v>
      </c>
      <c r="F579" s="47" t="e">
        <f t="shared" si="128"/>
        <v>#REF!</v>
      </c>
      <c r="G579" s="47" t="e">
        <f t="shared" si="128"/>
        <v>#REF!</v>
      </c>
      <c r="H579" s="47" t="e">
        <f t="shared" si="128"/>
        <v>#REF!</v>
      </c>
    </row>
    <row r="580" spans="1:8" ht="12.75" hidden="1" x14ac:dyDescent="0.2">
      <c r="A580" s="47" t="e">
        <f t="shared" ref="A580:H580" si="129">#REF!</f>
        <v>#REF!</v>
      </c>
      <c r="B580" s="47" t="e">
        <f t="shared" si="129"/>
        <v>#REF!</v>
      </c>
      <c r="C580" s="47" t="e">
        <f t="shared" si="129"/>
        <v>#REF!</v>
      </c>
      <c r="D580" s="47" t="e">
        <f t="shared" si="129"/>
        <v>#REF!</v>
      </c>
      <c r="E580" s="47" t="e">
        <f t="shared" si="129"/>
        <v>#REF!</v>
      </c>
      <c r="F580" s="47" t="e">
        <f t="shared" si="129"/>
        <v>#REF!</v>
      </c>
      <c r="G580" s="47" t="e">
        <f t="shared" si="129"/>
        <v>#REF!</v>
      </c>
      <c r="H580" s="47" t="e">
        <f t="shared" si="129"/>
        <v>#REF!</v>
      </c>
    </row>
    <row r="581" spans="1:8" ht="12.75" hidden="1" x14ac:dyDescent="0.2">
      <c r="A581" s="47" t="e">
        <f t="shared" ref="A581:H581" si="130">#REF!</f>
        <v>#REF!</v>
      </c>
      <c r="B581" s="47" t="e">
        <f t="shared" si="130"/>
        <v>#REF!</v>
      </c>
      <c r="C581" s="47" t="e">
        <f t="shared" si="130"/>
        <v>#REF!</v>
      </c>
      <c r="D581" s="47" t="e">
        <f t="shared" si="130"/>
        <v>#REF!</v>
      </c>
      <c r="E581" s="47" t="e">
        <f t="shared" si="130"/>
        <v>#REF!</v>
      </c>
      <c r="F581" s="47" t="e">
        <f t="shared" si="130"/>
        <v>#REF!</v>
      </c>
      <c r="G581" s="47" t="e">
        <f t="shared" si="130"/>
        <v>#REF!</v>
      </c>
      <c r="H581" s="47" t="e">
        <f t="shared" si="130"/>
        <v>#REF!</v>
      </c>
    </row>
    <row r="582" spans="1:8" ht="12.75" hidden="1" x14ac:dyDescent="0.2">
      <c r="A582" s="47" t="e">
        <f t="shared" ref="A582:H582" si="131">#REF!</f>
        <v>#REF!</v>
      </c>
      <c r="B582" s="47" t="e">
        <f t="shared" si="131"/>
        <v>#REF!</v>
      </c>
      <c r="C582" s="47" t="e">
        <f t="shared" si="131"/>
        <v>#REF!</v>
      </c>
      <c r="D582" s="47" t="e">
        <f t="shared" si="131"/>
        <v>#REF!</v>
      </c>
      <c r="E582" s="47" t="e">
        <f t="shared" si="131"/>
        <v>#REF!</v>
      </c>
      <c r="F582" s="47" t="e">
        <f t="shared" si="131"/>
        <v>#REF!</v>
      </c>
      <c r="G582" s="47" t="e">
        <f t="shared" si="131"/>
        <v>#REF!</v>
      </c>
      <c r="H582" s="47" t="e">
        <f t="shared" si="131"/>
        <v>#REF!</v>
      </c>
    </row>
    <row r="583" spans="1:8" ht="12.75" hidden="1" x14ac:dyDescent="0.2">
      <c r="A583" s="47" t="e">
        <f t="shared" ref="A583:H583" si="132">#REF!</f>
        <v>#REF!</v>
      </c>
      <c r="B583" s="47" t="e">
        <f t="shared" si="132"/>
        <v>#REF!</v>
      </c>
      <c r="C583" s="47" t="e">
        <f t="shared" si="132"/>
        <v>#REF!</v>
      </c>
      <c r="D583" s="47" t="e">
        <f t="shared" si="132"/>
        <v>#REF!</v>
      </c>
      <c r="E583" s="47" t="e">
        <f t="shared" si="132"/>
        <v>#REF!</v>
      </c>
      <c r="F583" s="47" t="e">
        <f t="shared" si="132"/>
        <v>#REF!</v>
      </c>
      <c r="G583" s="47" t="e">
        <f t="shared" si="132"/>
        <v>#REF!</v>
      </c>
      <c r="H583" s="47" t="e">
        <f t="shared" si="132"/>
        <v>#REF!</v>
      </c>
    </row>
    <row r="584" spans="1:8" ht="12.75" hidden="1" x14ac:dyDescent="0.2">
      <c r="A584" s="47" t="e">
        <f t="shared" ref="A584:H584" si="133">#REF!</f>
        <v>#REF!</v>
      </c>
      <c r="B584" s="47" t="e">
        <f t="shared" si="133"/>
        <v>#REF!</v>
      </c>
      <c r="C584" s="47" t="e">
        <f t="shared" si="133"/>
        <v>#REF!</v>
      </c>
      <c r="D584" s="47" t="e">
        <f t="shared" si="133"/>
        <v>#REF!</v>
      </c>
      <c r="E584" s="47" t="e">
        <f t="shared" si="133"/>
        <v>#REF!</v>
      </c>
      <c r="F584" s="47" t="e">
        <f t="shared" si="133"/>
        <v>#REF!</v>
      </c>
      <c r="G584" s="47" t="e">
        <f t="shared" si="133"/>
        <v>#REF!</v>
      </c>
      <c r="H584" s="47" t="e">
        <f t="shared" si="133"/>
        <v>#REF!</v>
      </c>
    </row>
    <row r="585" spans="1:8" ht="12.75" hidden="1" x14ac:dyDescent="0.2">
      <c r="A585" s="47" t="e">
        <f t="shared" ref="A585:H585" si="134">#REF!</f>
        <v>#REF!</v>
      </c>
      <c r="B585" s="47" t="e">
        <f t="shared" si="134"/>
        <v>#REF!</v>
      </c>
      <c r="C585" s="47" t="e">
        <f t="shared" si="134"/>
        <v>#REF!</v>
      </c>
      <c r="D585" s="47" t="e">
        <f t="shared" si="134"/>
        <v>#REF!</v>
      </c>
      <c r="E585" s="47" t="e">
        <f t="shared" si="134"/>
        <v>#REF!</v>
      </c>
      <c r="F585" s="47" t="e">
        <f t="shared" si="134"/>
        <v>#REF!</v>
      </c>
      <c r="G585" s="47" t="e">
        <f t="shared" si="134"/>
        <v>#REF!</v>
      </c>
      <c r="H585" s="47" t="e">
        <f t="shared" si="134"/>
        <v>#REF!</v>
      </c>
    </row>
    <row r="586" spans="1:8" ht="12.75" hidden="1" x14ac:dyDescent="0.2">
      <c r="A586" s="47" t="e">
        <f t="shared" ref="A586:H586" si="135">#REF!</f>
        <v>#REF!</v>
      </c>
      <c r="B586" s="47" t="e">
        <f t="shared" si="135"/>
        <v>#REF!</v>
      </c>
      <c r="C586" s="47" t="e">
        <f t="shared" si="135"/>
        <v>#REF!</v>
      </c>
      <c r="D586" s="47" t="e">
        <f t="shared" si="135"/>
        <v>#REF!</v>
      </c>
      <c r="E586" s="47" t="e">
        <f t="shared" si="135"/>
        <v>#REF!</v>
      </c>
      <c r="F586" s="47" t="e">
        <f t="shared" si="135"/>
        <v>#REF!</v>
      </c>
      <c r="G586" s="47" t="e">
        <f t="shared" si="135"/>
        <v>#REF!</v>
      </c>
      <c r="H586" s="47" t="e">
        <f t="shared" si="135"/>
        <v>#REF!</v>
      </c>
    </row>
    <row r="587" spans="1:8" ht="12.75" hidden="1" x14ac:dyDescent="0.2">
      <c r="A587" s="47" t="e">
        <f t="shared" ref="A587:H587" si="136">#REF!</f>
        <v>#REF!</v>
      </c>
      <c r="B587" s="47" t="e">
        <f t="shared" si="136"/>
        <v>#REF!</v>
      </c>
      <c r="C587" s="47" t="e">
        <f t="shared" si="136"/>
        <v>#REF!</v>
      </c>
      <c r="D587" s="47" t="e">
        <f t="shared" si="136"/>
        <v>#REF!</v>
      </c>
      <c r="E587" s="47" t="e">
        <f t="shared" si="136"/>
        <v>#REF!</v>
      </c>
      <c r="F587" s="47" t="e">
        <f t="shared" si="136"/>
        <v>#REF!</v>
      </c>
      <c r="G587" s="47" t="e">
        <f t="shared" si="136"/>
        <v>#REF!</v>
      </c>
      <c r="H587" s="47" t="e">
        <f t="shared" si="136"/>
        <v>#REF!</v>
      </c>
    </row>
    <row r="588" spans="1:8" ht="12.75" hidden="1" x14ac:dyDescent="0.2">
      <c r="A588" s="47" t="e">
        <f t="shared" ref="A588:H588" si="137">#REF!</f>
        <v>#REF!</v>
      </c>
      <c r="B588" s="47" t="e">
        <f t="shared" si="137"/>
        <v>#REF!</v>
      </c>
      <c r="C588" s="47" t="e">
        <f t="shared" si="137"/>
        <v>#REF!</v>
      </c>
      <c r="D588" s="47" t="e">
        <f t="shared" si="137"/>
        <v>#REF!</v>
      </c>
      <c r="E588" s="47" t="e">
        <f t="shared" si="137"/>
        <v>#REF!</v>
      </c>
      <c r="F588" s="47" t="e">
        <f t="shared" si="137"/>
        <v>#REF!</v>
      </c>
      <c r="G588" s="47" t="e">
        <f t="shared" si="137"/>
        <v>#REF!</v>
      </c>
      <c r="H588" s="47" t="e">
        <f t="shared" si="137"/>
        <v>#REF!</v>
      </c>
    </row>
    <row r="589" spans="1:8" ht="12.75" hidden="1" x14ac:dyDescent="0.2">
      <c r="A589" s="47" t="e">
        <f t="shared" ref="A589:H589" si="138">#REF!</f>
        <v>#REF!</v>
      </c>
      <c r="B589" s="47" t="e">
        <f t="shared" si="138"/>
        <v>#REF!</v>
      </c>
      <c r="C589" s="47" t="e">
        <f t="shared" si="138"/>
        <v>#REF!</v>
      </c>
      <c r="D589" s="47" t="e">
        <f t="shared" si="138"/>
        <v>#REF!</v>
      </c>
      <c r="E589" s="47" t="e">
        <f t="shared" si="138"/>
        <v>#REF!</v>
      </c>
      <c r="F589" s="47" t="e">
        <f t="shared" si="138"/>
        <v>#REF!</v>
      </c>
      <c r="G589" s="47" t="e">
        <f t="shared" si="138"/>
        <v>#REF!</v>
      </c>
      <c r="H589" s="47" t="e">
        <f t="shared" si="138"/>
        <v>#REF!</v>
      </c>
    </row>
    <row r="590" spans="1:8" ht="12.75" hidden="1" x14ac:dyDescent="0.2">
      <c r="A590" s="47" t="e">
        <f t="shared" ref="A590:H590" si="139">#REF!</f>
        <v>#REF!</v>
      </c>
      <c r="B590" s="47" t="e">
        <f t="shared" si="139"/>
        <v>#REF!</v>
      </c>
      <c r="C590" s="47" t="e">
        <f t="shared" si="139"/>
        <v>#REF!</v>
      </c>
      <c r="D590" s="47" t="e">
        <f t="shared" si="139"/>
        <v>#REF!</v>
      </c>
      <c r="E590" s="47" t="e">
        <f t="shared" si="139"/>
        <v>#REF!</v>
      </c>
      <c r="F590" s="47" t="e">
        <f t="shared" si="139"/>
        <v>#REF!</v>
      </c>
      <c r="G590" s="47" t="e">
        <f t="shared" si="139"/>
        <v>#REF!</v>
      </c>
      <c r="H590" s="47" t="e">
        <f t="shared" si="139"/>
        <v>#REF!</v>
      </c>
    </row>
    <row r="591" spans="1:8" ht="12.75" hidden="1" x14ac:dyDescent="0.2">
      <c r="A591" s="47" t="e">
        <f t="shared" ref="A591:H591" si="140">#REF!</f>
        <v>#REF!</v>
      </c>
      <c r="B591" s="47" t="e">
        <f t="shared" si="140"/>
        <v>#REF!</v>
      </c>
      <c r="C591" s="47" t="e">
        <f t="shared" si="140"/>
        <v>#REF!</v>
      </c>
      <c r="D591" s="47" t="e">
        <f t="shared" si="140"/>
        <v>#REF!</v>
      </c>
      <c r="E591" s="47" t="e">
        <f t="shared" si="140"/>
        <v>#REF!</v>
      </c>
      <c r="F591" s="47" t="e">
        <f t="shared" si="140"/>
        <v>#REF!</v>
      </c>
      <c r="G591" s="47" t="e">
        <f t="shared" si="140"/>
        <v>#REF!</v>
      </c>
      <c r="H591" s="47" t="e">
        <f t="shared" si="140"/>
        <v>#REF!</v>
      </c>
    </row>
    <row r="592" spans="1:8" ht="12.75" hidden="1" x14ac:dyDescent="0.2">
      <c r="A592" s="47" t="e">
        <f t="shared" ref="A592:H592" si="141">#REF!</f>
        <v>#REF!</v>
      </c>
      <c r="B592" s="47" t="e">
        <f t="shared" si="141"/>
        <v>#REF!</v>
      </c>
      <c r="C592" s="47" t="e">
        <f t="shared" si="141"/>
        <v>#REF!</v>
      </c>
      <c r="D592" s="47" t="e">
        <f t="shared" si="141"/>
        <v>#REF!</v>
      </c>
      <c r="E592" s="47" t="e">
        <f t="shared" si="141"/>
        <v>#REF!</v>
      </c>
      <c r="F592" s="47" t="e">
        <f t="shared" si="141"/>
        <v>#REF!</v>
      </c>
      <c r="G592" s="47" t="e">
        <f t="shared" si="141"/>
        <v>#REF!</v>
      </c>
      <c r="H592" s="47" t="e">
        <f t="shared" si="141"/>
        <v>#REF!</v>
      </c>
    </row>
    <row r="593" spans="1:8" ht="12.75" hidden="1" x14ac:dyDescent="0.2">
      <c r="A593" s="47" t="e">
        <f t="shared" ref="A593:H593" si="142">#REF!</f>
        <v>#REF!</v>
      </c>
      <c r="B593" s="47" t="e">
        <f t="shared" si="142"/>
        <v>#REF!</v>
      </c>
      <c r="C593" s="47" t="e">
        <f t="shared" si="142"/>
        <v>#REF!</v>
      </c>
      <c r="D593" s="47" t="e">
        <f t="shared" si="142"/>
        <v>#REF!</v>
      </c>
      <c r="E593" s="47" t="e">
        <f t="shared" si="142"/>
        <v>#REF!</v>
      </c>
      <c r="F593" s="47" t="e">
        <f t="shared" si="142"/>
        <v>#REF!</v>
      </c>
      <c r="G593" s="47" t="e">
        <f t="shared" si="142"/>
        <v>#REF!</v>
      </c>
      <c r="H593" s="47" t="e">
        <f t="shared" si="142"/>
        <v>#REF!</v>
      </c>
    </row>
    <row r="594" spans="1:8" ht="12.75" hidden="1" x14ac:dyDescent="0.2">
      <c r="A594" s="47" t="e">
        <f t="shared" ref="A594:H594" si="143">#REF!</f>
        <v>#REF!</v>
      </c>
      <c r="B594" s="47" t="e">
        <f t="shared" si="143"/>
        <v>#REF!</v>
      </c>
      <c r="C594" s="47" t="e">
        <f t="shared" si="143"/>
        <v>#REF!</v>
      </c>
      <c r="D594" s="47" t="e">
        <f t="shared" si="143"/>
        <v>#REF!</v>
      </c>
      <c r="E594" s="47" t="e">
        <f t="shared" si="143"/>
        <v>#REF!</v>
      </c>
      <c r="F594" s="47" t="e">
        <f t="shared" si="143"/>
        <v>#REF!</v>
      </c>
      <c r="G594" s="47" t="e">
        <f t="shared" si="143"/>
        <v>#REF!</v>
      </c>
      <c r="H594" s="47" t="e">
        <f t="shared" si="143"/>
        <v>#REF!</v>
      </c>
    </row>
    <row r="595" spans="1:8" ht="12.75" hidden="1" x14ac:dyDescent="0.2">
      <c r="A595" s="47" t="e">
        <f t="shared" ref="A595:H595" si="144">#REF!</f>
        <v>#REF!</v>
      </c>
      <c r="B595" s="47" t="e">
        <f t="shared" si="144"/>
        <v>#REF!</v>
      </c>
      <c r="C595" s="47" t="e">
        <f t="shared" si="144"/>
        <v>#REF!</v>
      </c>
      <c r="D595" s="47" t="e">
        <f t="shared" si="144"/>
        <v>#REF!</v>
      </c>
      <c r="E595" s="47" t="e">
        <f t="shared" si="144"/>
        <v>#REF!</v>
      </c>
      <c r="F595" s="47" t="e">
        <f t="shared" si="144"/>
        <v>#REF!</v>
      </c>
      <c r="G595" s="47" t="e">
        <f t="shared" si="144"/>
        <v>#REF!</v>
      </c>
      <c r="H595" s="47" t="e">
        <f t="shared" si="144"/>
        <v>#REF!</v>
      </c>
    </row>
    <row r="596" spans="1:8" ht="12.75" hidden="1" x14ac:dyDescent="0.2">
      <c r="A596" s="47" t="e">
        <f t="shared" ref="A596:H596" si="145">#REF!</f>
        <v>#REF!</v>
      </c>
      <c r="B596" s="47" t="e">
        <f t="shared" si="145"/>
        <v>#REF!</v>
      </c>
      <c r="C596" s="47" t="e">
        <f t="shared" si="145"/>
        <v>#REF!</v>
      </c>
      <c r="D596" s="47" t="e">
        <f t="shared" si="145"/>
        <v>#REF!</v>
      </c>
      <c r="E596" s="47" t="e">
        <f t="shared" si="145"/>
        <v>#REF!</v>
      </c>
      <c r="F596" s="47" t="e">
        <f t="shared" si="145"/>
        <v>#REF!</v>
      </c>
      <c r="G596" s="47" t="e">
        <f t="shared" si="145"/>
        <v>#REF!</v>
      </c>
      <c r="H596" s="47" t="e">
        <f t="shared" si="145"/>
        <v>#REF!</v>
      </c>
    </row>
    <row r="597" spans="1:8" ht="12.75" hidden="1" x14ac:dyDescent="0.2">
      <c r="A597" s="47" t="e">
        <f t="shared" ref="A597:H597" si="146">#REF!</f>
        <v>#REF!</v>
      </c>
      <c r="B597" s="47" t="e">
        <f t="shared" si="146"/>
        <v>#REF!</v>
      </c>
      <c r="C597" s="47" t="e">
        <f t="shared" si="146"/>
        <v>#REF!</v>
      </c>
      <c r="D597" s="47" t="e">
        <f t="shared" si="146"/>
        <v>#REF!</v>
      </c>
      <c r="E597" s="47" t="e">
        <f t="shared" si="146"/>
        <v>#REF!</v>
      </c>
      <c r="F597" s="47" t="e">
        <f t="shared" si="146"/>
        <v>#REF!</v>
      </c>
      <c r="G597" s="47" t="e">
        <f t="shared" si="146"/>
        <v>#REF!</v>
      </c>
      <c r="H597" s="47" t="e">
        <f t="shared" si="146"/>
        <v>#REF!</v>
      </c>
    </row>
    <row r="598" spans="1:8" ht="12.75" hidden="1" x14ac:dyDescent="0.2">
      <c r="A598" s="47" t="e">
        <f t="shared" ref="A598:H598" si="147">#REF!</f>
        <v>#REF!</v>
      </c>
      <c r="B598" s="47" t="e">
        <f t="shared" si="147"/>
        <v>#REF!</v>
      </c>
      <c r="C598" s="47" t="e">
        <f t="shared" si="147"/>
        <v>#REF!</v>
      </c>
      <c r="D598" s="47" t="e">
        <f t="shared" si="147"/>
        <v>#REF!</v>
      </c>
      <c r="E598" s="47" t="e">
        <f t="shared" si="147"/>
        <v>#REF!</v>
      </c>
      <c r="F598" s="47" t="e">
        <f t="shared" si="147"/>
        <v>#REF!</v>
      </c>
      <c r="G598" s="47" t="e">
        <f t="shared" si="147"/>
        <v>#REF!</v>
      </c>
      <c r="H598" s="47" t="e">
        <f t="shared" si="147"/>
        <v>#REF!</v>
      </c>
    </row>
    <row r="599" spans="1:8" ht="12.75" hidden="1" x14ac:dyDescent="0.2">
      <c r="A599" s="47" t="e">
        <f t="shared" ref="A599:H599" si="148">#REF!</f>
        <v>#REF!</v>
      </c>
      <c r="B599" s="47" t="e">
        <f t="shared" si="148"/>
        <v>#REF!</v>
      </c>
      <c r="C599" s="47" t="e">
        <f t="shared" si="148"/>
        <v>#REF!</v>
      </c>
      <c r="D599" s="47" t="e">
        <f t="shared" si="148"/>
        <v>#REF!</v>
      </c>
      <c r="E599" s="47" t="e">
        <f t="shared" si="148"/>
        <v>#REF!</v>
      </c>
      <c r="F599" s="47" t="e">
        <f t="shared" si="148"/>
        <v>#REF!</v>
      </c>
      <c r="G599" s="47" t="e">
        <f t="shared" si="148"/>
        <v>#REF!</v>
      </c>
      <c r="H599" s="47" t="e">
        <f t="shared" si="148"/>
        <v>#REF!</v>
      </c>
    </row>
    <row r="600" spans="1:8" ht="12.75" hidden="1" x14ac:dyDescent="0.2">
      <c r="A600" s="47" t="e">
        <f t="shared" ref="A600:H600" si="149">#REF!</f>
        <v>#REF!</v>
      </c>
      <c r="B600" s="47" t="e">
        <f t="shared" si="149"/>
        <v>#REF!</v>
      </c>
      <c r="C600" s="47" t="e">
        <f t="shared" si="149"/>
        <v>#REF!</v>
      </c>
      <c r="D600" s="47" t="e">
        <f t="shared" si="149"/>
        <v>#REF!</v>
      </c>
      <c r="E600" s="47" t="e">
        <f t="shared" si="149"/>
        <v>#REF!</v>
      </c>
      <c r="F600" s="47" t="e">
        <f t="shared" si="149"/>
        <v>#REF!</v>
      </c>
      <c r="G600" s="47" t="e">
        <f t="shared" si="149"/>
        <v>#REF!</v>
      </c>
      <c r="H600" s="47" t="e">
        <f t="shared" si="149"/>
        <v>#REF!</v>
      </c>
    </row>
    <row r="601" spans="1:8" ht="12.75" hidden="1" x14ac:dyDescent="0.2">
      <c r="A601" s="47" t="e">
        <f t="shared" ref="A601:H601" si="150">#REF!</f>
        <v>#REF!</v>
      </c>
      <c r="B601" s="47" t="e">
        <f t="shared" si="150"/>
        <v>#REF!</v>
      </c>
      <c r="C601" s="47" t="e">
        <f t="shared" si="150"/>
        <v>#REF!</v>
      </c>
      <c r="D601" s="47" t="e">
        <f t="shared" si="150"/>
        <v>#REF!</v>
      </c>
      <c r="E601" s="47" t="e">
        <f t="shared" si="150"/>
        <v>#REF!</v>
      </c>
      <c r="F601" s="47" t="e">
        <f t="shared" si="150"/>
        <v>#REF!</v>
      </c>
      <c r="G601" s="47" t="e">
        <f t="shared" si="150"/>
        <v>#REF!</v>
      </c>
      <c r="H601" s="47" t="e">
        <f t="shared" si="150"/>
        <v>#REF!</v>
      </c>
    </row>
    <row r="602" spans="1:8" ht="12.75" hidden="1" x14ac:dyDescent="0.2">
      <c r="A602" s="47" t="e">
        <f t="shared" ref="A602:H602" si="151">#REF!</f>
        <v>#REF!</v>
      </c>
      <c r="B602" s="47" t="e">
        <f t="shared" si="151"/>
        <v>#REF!</v>
      </c>
      <c r="C602" s="47" t="e">
        <f t="shared" si="151"/>
        <v>#REF!</v>
      </c>
      <c r="D602" s="47" t="e">
        <f t="shared" si="151"/>
        <v>#REF!</v>
      </c>
      <c r="E602" s="47" t="e">
        <f t="shared" si="151"/>
        <v>#REF!</v>
      </c>
      <c r="F602" s="47" t="e">
        <f t="shared" si="151"/>
        <v>#REF!</v>
      </c>
      <c r="G602" s="47" t="e">
        <f t="shared" si="151"/>
        <v>#REF!</v>
      </c>
      <c r="H602" s="47" t="e">
        <f t="shared" si="151"/>
        <v>#REF!</v>
      </c>
    </row>
    <row r="603" spans="1:8" ht="12.75" hidden="1" x14ac:dyDescent="0.2">
      <c r="A603" s="47" t="e">
        <f t="shared" ref="A603:H603" si="152">#REF!</f>
        <v>#REF!</v>
      </c>
      <c r="B603" s="47" t="e">
        <f t="shared" si="152"/>
        <v>#REF!</v>
      </c>
      <c r="C603" s="47" t="e">
        <f t="shared" si="152"/>
        <v>#REF!</v>
      </c>
      <c r="D603" s="47" t="e">
        <f t="shared" si="152"/>
        <v>#REF!</v>
      </c>
      <c r="E603" s="47" t="e">
        <f t="shared" si="152"/>
        <v>#REF!</v>
      </c>
      <c r="F603" s="47" t="e">
        <f t="shared" si="152"/>
        <v>#REF!</v>
      </c>
      <c r="G603" s="47" t="e">
        <f t="shared" si="152"/>
        <v>#REF!</v>
      </c>
      <c r="H603" s="47" t="e">
        <f t="shared" si="152"/>
        <v>#REF!</v>
      </c>
    </row>
    <row r="604" spans="1:8" ht="12.75" hidden="1" x14ac:dyDescent="0.2">
      <c r="A604" s="47" t="e">
        <f t="shared" ref="A604:H604" si="153">#REF!</f>
        <v>#REF!</v>
      </c>
      <c r="B604" s="47" t="e">
        <f t="shared" si="153"/>
        <v>#REF!</v>
      </c>
      <c r="C604" s="47" t="e">
        <f t="shared" si="153"/>
        <v>#REF!</v>
      </c>
      <c r="D604" s="47" t="e">
        <f t="shared" si="153"/>
        <v>#REF!</v>
      </c>
      <c r="E604" s="47" t="e">
        <f t="shared" si="153"/>
        <v>#REF!</v>
      </c>
      <c r="F604" s="47" t="e">
        <f t="shared" si="153"/>
        <v>#REF!</v>
      </c>
      <c r="G604" s="47" t="e">
        <f t="shared" si="153"/>
        <v>#REF!</v>
      </c>
      <c r="H604" s="47" t="e">
        <f t="shared" si="153"/>
        <v>#REF!</v>
      </c>
    </row>
    <row r="605" spans="1:8" ht="12.75" hidden="1" x14ac:dyDescent="0.2">
      <c r="A605" s="47" t="e">
        <f t="shared" ref="A605:H605" si="154">#REF!</f>
        <v>#REF!</v>
      </c>
      <c r="B605" s="47" t="e">
        <f t="shared" si="154"/>
        <v>#REF!</v>
      </c>
      <c r="C605" s="47" t="e">
        <f t="shared" si="154"/>
        <v>#REF!</v>
      </c>
      <c r="D605" s="47" t="e">
        <f t="shared" si="154"/>
        <v>#REF!</v>
      </c>
      <c r="E605" s="47" t="e">
        <f t="shared" si="154"/>
        <v>#REF!</v>
      </c>
      <c r="F605" s="47" t="e">
        <f t="shared" si="154"/>
        <v>#REF!</v>
      </c>
      <c r="G605" s="47" t="e">
        <f t="shared" si="154"/>
        <v>#REF!</v>
      </c>
      <c r="H605" s="47" t="e">
        <f t="shared" si="154"/>
        <v>#REF!</v>
      </c>
    </row>
    <row r="606" spans="1:8" ht="12.75" hidden="1" x14ac:dyDescent="0.2">
      <c r="A606" s="47" t="e">
        <f t="shared" ref="A606:H606" si="155">#REF!</f>
        <v>#REF!</v>
      </c>
      <c r="B606" s="47" t="e">
        <f t="shared" si="155"/>
        <v>#REF!</v>
      </c>
      <c r="C606" s="47" t="e">
        <f t="shared" si="155"/>
        <v>#REF!</v>
      </c>
      <c r="D606" s="47" t="e">
        <f t="shared" si="155"/>
        <v>#REF!</v>
      </c>
      <c r="E606" s="47" t="e">
        <f t="shared" si="155"/>
        <v>#REF!</v>
      </c>
      <c r="F606" s="47" t="e">
        <f t="shared" si="155"/>
        <v>#REF!</v>
      </c>
      <c r="G606" s="47" t="e">
        <f t="shared" si="155"/>
        <v>#REF!</v>
      </c>
      <c r="H606" s="47" t="e">
        <f t="shared" si="155"/>
        <v>#REF!</v>
      </c>
    </row>
    <row r="607" spans="1:8" ht="12.75" hidden="1" x14ac:dyDescent="0.2">
      <c r="A607" s="47" t="e">
        <f t="shared" ref="A607:H607" si="156">#REF!</f>
        <v>#REF!</v>
      </c>
      <c r="B607" s="47" t="e">
        <f t="shared" si="156"/>
        <v>#REF!</v>
      </c>
      <c r="C607" s="47" t="e">
        <f t="shared" si="156"/>
        <v>#REF!</v>
      </c>
      <c r="D607" s="47" t="e">
        <f t="shared" si="156"/>
        <v>#REF!</v>
      </c>
      <c r="E607" s="47" t="e">
        <f t="shared" si="156"/>
        <v>#REF!</v>
      </c>
      <c r="F607" s="47" t="e">
        <f t="shared" si="156"/>
        <v>#REF!</v>
      </c>
      <c r="G607" s="47" t="e">
        <f t="shared" si="156"/>
        <v>#REF!</v>
      </c>
      <c r="H607" s="47" t="e">
        <f t="shared" si="156"/>
        <v>#REF!</v>
      </c>
    </row>
    <row r="608" spans="1:8" ht="12.75" hidden="1" x14ac:dyDescent="0.2">
      <c r="A608" s="47" t="e">
        <f t="shared" ref="A608:H608" si="157">#REF!</f>
        <v>#REF!</v>
      </c>
      <c r="B608" s="47" t="e">
        <f t="shared" si="157"/>
        <v>#REF!</v>
      </c>
      <c r="C608" s="47" t="e">
        <f t="shared" si="157"/>
        <v>#REF!</v>
      </c>
      <c r="D608" s="47" t="e">
        <f t="shared" si="157"/>
        <v>#REF!</v>
      </c>
      <c r="E608" s="47" t="e">
        <f t="shared" si="157"/>
        <v>#REF!</v>
      </c>
      <c r="F608" s="47" t="e">
        <f t="shared" si="157"/>
        <v>#REF!</v>
      </c>
      <c r="G608" s="47" t="e">
        <f t="shared" si="157"/>
        <v>#REF!</v>
      </c>
      <c r="H608" s="47" t="e">
        <f t="shared" si="157"/>
        <v>#REF!</v>
      </c>
    </row>
    <row r="609" spans="1:8" ht="12.75" hidden="1" x14ac:dyDescent="0.2">
      <c r="A609" s="47" t="e">
        <f t="shared" ref="A609:H609" si="158">#REF!</f>
        <v>#REF!</v>
      </c>
      <c r="B609" s="47" t="e">
        <f t="shared" si="158"/>
        <v>#REF!</v>
      </c>
      <c r="C609" s="47" t="e">
        <f t="shared" si="158"/>
        <v>#REF!</v>
      </c>
      <c r="D609" s="47" t="e">
        <f t="shared" si="158"/>
        <v>#REF!</v>
      </c>
      <c r="E609" s="47" t="e">
        <f t="shared" si="158"/>
        <v>#REF!</v>
      </c>
      <c r="F609" s="47" t="e">
        <f t="shared" si="158"/>
        <v>#REF!</v>
      </c>
      <c r="G609" s="47" t="e">
        <f t="shared" si="158"/>
        <v>#REF!</v>
      </c>
      <c r="H609" s="47" t="e">
        <f t="shared" si="158"/>
        <v>#REF!</v>
      </c>
    </row>
    <row r="610" spans="1:8" ht="12.75" hidden="1" x14ac:dyDescent="0.2">
      <c r="A610" s="47" t="e">
        <f t="shared" ref="A610:H610" si="159">#REF!</f>
        <v>#REF!</v>
      </c>
      <c r="B610" s="47" t="e">
        <f t="shared" si="159"/>
        <v>#REF!</v>
      </c>
      <c r="C610" s="47" t="e">
        <f t="shared" si="159"/>
        <v>#REF!</v>
      </c>
      <c r="D610" s="47" t="e">
        <f t="shared" si="159"/>
        <v>#REF!</v>
      </c>
      <c r="E610" s="47" t="e">
        <f t="shared" si="159"/>
        <v>#REF!</v>
      </c>
      <c r="F610" s="47" t="e">
        <f t="shared" si="159"/>
        <v>#REF!</v>
      </c>
      <c r="G610" s="47" t="e">
        <f t="shared" si="159"/>
        <v>#REF!</v>
      </c>
      <c r="H610" s="47" t="e">
        <f t="shared" si="159"/>
        <v>#REF!</v>
      </c>
    </row>
    <row r="611" spans="1:8" ht="12.75" hidden="1" x14ac:dyDescent="0.2">
      <c r="A611" s="47" t="e">
        <f t="shared" ref="A611:H611" si="160">#REF!</f>
        <v>#REF!</v>
      </c>
      <c r="B611" s="47" t="e">
        <f t="shared" si="160"/>
        <v>#REF!</v>
      </c>
      <c r="C611" s="47" t="e">
        <f t="shared" si="160"/>
        <v>#REF!</v>
      </c>
      <c r="D611" s="47" t="e">
        <f t="shared" si="160"/>
        <v>#REF!</v>
      </c>
      <c r="E611" s="47" t="e">
        <f t="shared" si="160"/>
        <v>#REF!</v>
      </c>
      <c r="F611" s="47" t="e">
        <f t="shared" si="160"/>
        <v>#REF!</v>
      </c>
      <c r="G611" s="47" t="e">
        <f t="shared" si="160"/>
        <v>#REF!</v>
      </c>
      <c r="H611" s="47" t="e">
        <f t="shared" si="160"/>
        <v>#REF!</v>
      </c>
    </row>
    <row r="612" spans="1:8" ht="12.75" hidden="1" x14ac:dyDescent="0.2">
      <c r="A612" s="47" t="e">
        <f t="shared" ref="A612:H612" si="161">#REF!</f>
        <v>#REF!</v>
      </c>
      <c r="B612" s="47" t="e">
        <f t="shared" si="161"/>
        <v>#REF!</v>
      </c>
      <c r="C612" s="47" t="e">
        <f t="shared" si="161"/>
        <v>#REF!</v>
      </c>
      <c r="D612" s="47" t="e">
        <f t="shared" si="161"/>
        <v>#REF!</v>
      </c>
      <c r="E612" s="47" t="e">
        <f t="shared" si="161"/>
        <v>#REF!</v>
      </c>
      <c r="F612" s="47" t="e">
        <f t="shared" si="161"/>
        <v>#REF!</v>
      </c>
      <c r="G612" s="47" t="e">
        <f t="shared" si="161"/>
        <v>#REF!</v>
      </c>
      <c r="H612" s="47" t="e">
        <f t="shared" si="161"/>
        <v>#REF!</v>
      </c>
    </row>
    <row r="613" spans="1:8" ht="12.75" hidden="1" x14ac:dyDescent="0.2">
      <c r="A613" s="47" t="e">
        <f t="shared" ref="A613:H613" si="162">#REF!</f>
        <v>#REF!</v>
      </c>
      <c r="B613" s="47" t="e">
        <f t="shared" si="162"/>
        <v>#REF!</v>
      </c>
      <c r="C613" s="47" t="e">
        <f t="shared" si="162"/>
        <v>#REF!</v>
      </c>
      <c r="D613" s="47" t="e">
        <f t="shared" si="162"/>
        <v>#REF!</v>
      </c>
      <c r="E613" s="47" t="e">
        <f t="shared" si="162"/>
        <v>#REF!</v>
      </c>
      <c r="F613" s="47" t="e">
        <f t="shared" si="162"/>
        <v>#REF!</v>
      </c>
      <c r="G613" s="47" t="e">
        <f t="shared" si="162"/>
        <v>#REF!</v>
      </c>
      <c r="H613" s="47" t="e">
        <f t="shared" si="162"/>
        <v>#REF!</v>
      </c>
    </row>
    <row r="614" spans="1:8" ht="12.75" hidden="1" x14ac:dyDescent="0.2">
      <c r="A614" s="47" t="e">
        <f t="shared" ref="A614:H614" si="163">#REF!</f>
        <v>#REF!</v>
      </c>
      <c r="B614" s="47" t="e">
        <f t="shared" si="163"/>
        <v>#REF!</v>
      </c>
      <c r="C614" s="47" t="e">
        <f t="shared" si="163"/>
        <v>#REF!</v>
      </c>
      <c r="D614" s="47" t="e">
        <f t="shared" si="163"/>
        <v>#REF!</v>
      </c>
      <c r="E614" s="47" t="e">
        <f t="shared" si="163"/>
        <v>#REF!</v>
      </c>
      <c r="F614" s="47" t="e">
        <f t="shared" si="163"/>
        <v>#REF!</v>
      </c>
      <c r="G614" s="47" t="e">
        <f t="shared" si="163"/>
        <v>#REF!</v>
      </c>
      <c r="H614" s="47" t="e">
        <f t="shared" si="163"/>
        <v>#REF!</v>
      </c>
    </row>
    <row r="615" spans="1:8" ht="12.75" hidden="1" x14ac:dyDescent="0.2">
      <c r="A615" s="47" t="e">
        <f t="shared" ref="A615:H615" si="164">#REF!</f>
        <v>#REF!</v>
      </c>
      <c r="B615" s="47" t="e">
        <f t="shared" si="164"/>
        <v>#REF!</v>
      </c>
      <c r="C615" s="47" t="e">
        <f t="shared" si="164"/>
        <v>#REF!</v>
      </c>
      <c r="D615" s="47" t="e">
        <f t="shared" si="164"/>
        <v>#REF!</v>
      </c>
      <c r="E615" s="47" t="e">
        <f t="shared" si="164"/>
        <v>#REF!</v>
      </c>
      <c r="F615" s="47" t="e">
        <f t="shared" si="164"/>
        <v>#REF!</v>
      </c>
      <c r="G615" s="47" t="e">
        <f t="shared" si="164"/>
        <v>#REF!</v>
      </c>
      <c r="H615" s="47" t="e">
        <f t="shared" si="164"/>
        <v>#REF!</v>
      </c>
    </row>
    <row r="616" spans="1:8" ht="12.75" hidden="1" x14ac:dyDescent="0.2">
      <c r="A616" s="47" t="e">
        <f t="shared" ref="A616:H616" si="165">#REF!</f>
        <v>#REF!</v>
      </c>
      <c r="B616" s="47" t="e">
        <f t="shared" si="165"/>
        <v>#REF!</v>
      </c>
      <c r="C616" s="47" t="e">
        <f t="shared" si="165"/>
        <v>#REF!</v>
      </c>
      <c r="D616" s="47" t="e">
        <f t="shared" si="165"/>
        <v>#REF!</v>
      </c>
      <c r="E616" s="47" t="e">
        <f t="shared" si="165"/>
        <v>#REF!</v>
      </c>
      <c r="F616" s="47" t="e">
        <f t="shared" si="165"/>
        <v>#REF!</v>
      </c>
      <c r="G616" s="47" t="e">
        <f t="shared" si="165"/>
        <v>#REF!</v>
      </c>
      <c r="H616" s="47" t="e">
        <f t="shared" si="165"/>
        <v>#REF!</v>
      </c>
    </row>
    <row r="617" spans="1:8" ht="12.75" hidden="1" x14ac:dyDescent="0.2">
      <c r="A617" s="47" t="e">
        <f t="shared" ref="A617:H617" si="166">#REF!</f>
        <v>#REF!</v>
      </c>
      <c r="B617" s="47" t="e">
        <f t="shared" si="166"/>
        <v>#REF!</v>
      </c>
      <c r="C617" s="47" t="e">
        <f t="shared" si="166"/>
        <v>#REF!</v>
      </c>
      <c r="D617" s="47" t="e">
        <f t="shared" si="166"/>
        <v>#REF!</v>
      </c>
      <c r="E617" s="47" t="e">
        <f t="shared" si="166"/>
        <v>#REF!</v>
      </c>
      <c r="F617" s="47" t="e">
        <f t="shared" si="166"/>
        <v>#REF!</v>
      </c>
      <c r="G617" s="47" t="e">
        <f t="shared" si="166"/>
        <v>#REF!</v>
      </c>
      <c r="H617" s="47" t="e">
        <f t="shared" si="166"/>
        <v>#REF!</v>
      </c>
    </row>
    <row r="618" spans="1:8" ht="12.75" hidden="1" x14ac:dyDescent="0.2">
      <c r="A618" s="47" t="e">
        <f t="shared" ref="A618:H618" si="167">#REF!</f>
        <v>#REF!</v>
      </c>
      <c r="B618" s="47" t="e">
        <f t="shared" si="167"/>
        <v>#REF!</v>
      </c>
      <c r="C618" s="47" t="e">
        <f t="shared" si="167"/>
        <v>#REF!</v>
      </c>
      <c r="D618" s="47" t="e">
        <f t="shared" si="167"/>
        <v>#REF!</v>
      </c>
      <c r="E618" s="47" t="e">
        <f t="shared" si="167"/>
        <v>#REF!</v>
      </c>
      <c r="F618" s="47" t="e">
        <f t="shared" si="167"/>
        <v>#REF!</v>
      </c>
      <c r="G618" s="47" t="e">
        <f t="shared" si="167"/>
        <v>#REF!</v>
      </c>
      <c r="H618" s="47" t="e">
        <f t="shared" si="167"/>
        <v>#REF!</v>
      </c>
    </row>
    <row r="619" spans="1:8" ht="12.75" hidden="1" x14ac:dyDescent="0.2">
      <c r="A619" s="47" t="e">
        <f t="shared" ref="A619:H619" si="168">#REF!</f>
        <v>#REF!</v>
      </c>
      <c r="B619" s="47" t="e">
        <f t="shared" si="168"/>
        <v>#REF!</v>
      </c>
      <c r="C619" s="47" t="e">
        <f t="shared" si="168"/>
        <v>#REF!</v>
      </c>
      <c r="D619" s="47" t="e">
        <f t="shared" si="168"/>
        <v>#REF!</v>
      </c>
      <c r="E619" s="47" t="e">
        <f t="shared" si="168"/>
        <v>#REF!</v>
      </c>
      <c r="F619" s="47" t="e">
        <f t="shared" si="168"/>
        <v>#REF!</v>
      </c>
      <c r="G619" s="47" t="e">
        <f t="shared" si="168"/>
        <v>#REF!</v>
      </c>
      <c r="H619" s="47" t="e">
        <f t="shared" si="168"/>
        <v>#REF!</v>
      </c>
    </row>
    <row r="620" spans="1:8" ht="12.75" hidden="1" x14ac:dyDescent="0.2">
      <c r="A620" s="47" t="e">
        <f t="shared" ref="A620:H620" si="169">#REF!</f>
        <v>#REF!</v>
      </c>
      <c r="B620" s="47" t="e">
        <f t="shared" si="169"/>
        <v>#REF!</v>
      </c>
      <c r="C620" s="47" t="e">
        <f t="shared" si="169"/>
        <v>#REF!</v>
      </c>
      <c r="D620" s="47" t="e">
        <f t="shared" si="169"/>
        <v>#REF!</v>
      </c>
      <c r="E620" s="47" t="e">
        <f t="shared" si="169"/>
        <v>#REF!</v>
      </c>
      <c r="F620" s="47" t="e">
        <f t="shared" si="169"/>
        <v>#REF!</v>
      </c>
      <c r="G620" s="47" t="e">
        <f t="shared" si="169"/>
        <v>#REF!</v>
      </c>
      <c r="H620" s="47" t="e">
        <f t="shared" si="169"/>
        <v>#REF!</v>
      </c>
    </row>
    <row r="621" spans="1:8" ht="12.75" hidden="1" x14ac:dyDescent="0.2">
      <c r="A621" s="47" t="e">
        <f t="shared" ref="A621:H621" si="170">#REF!</f>
        <v>#REF!</v>
      </c>
      <c r="B621" s="47" t="e">
        <f t="shared" si="170"/>
        <v>#REF!</v>
      </c>
      <c r="C621" s="47" t="e">
        <f t="shared" si="170"/>
        <v>#REF!</v>
      </c>
      <c r="D621" s="47" t="e">
        <f t="shared" si="170"/>
        <v>#REF!</v>
      </c>
      <c r="E621" s="47" t="e">
        <f t="shared" si="170"/>
        <v>#REF!</v>
      </c>
      <c r="F621" s="47" t="e">
        <f t="shared" si="170"/>
        <v>#REF!</v>
      </c>
      <c r="G621" s="47" t="e">
        <f t="shared" si="170"/>
        <v>#REF!</v>
      </c>
      <c r="H621" s="47" t="e">
        <f t="shared" si="170"/>
        <v>#REF!</v>
      </c>
    </row>
    <row r="622" spans="1:8" ht="12.75" hidden="1" x14ac:dyDescent="0.2">
      <c r="A622" s="47" t="e">
        <f t="shared" ref="A622:H622" si="171">#REF!</f>
        <v>#REF!</v>
      </c>
      <c r="B622" s="47" t="e">
        <f t="shared" si="171"/>
        <v>#REF!</v>
      </c>
      <c r="C622" s="47" t="e">
        <f t="shared" si="171"/>
        <v>#REF!</v>
      </c>
      <c r="D622" s="47" t="e">
        <f t="shared" si="171"/>
        <v>#REF!</v>
      </c>
      <c r="E622" s="47" t="e">
        <f t="shared" si="171"/>
        <v>#REF!</v>
      </c>
      <c r="F622" s="47" t="e">
        <f t="shared" si="171"/>
        <v>#REF!</v>
      </c>
      <c r="G622" s="47" t="e">
        <f t="shared" si="171"/>
        <v>#REF!</v>
      </c>
      <c r="H622" s="47" t="e">
        <f t="shared" si="171"/>
        <v>#REF!</v>
      </c>
    </row>
    <row r="623" spans="1:8" ht="12.75" hidden="1" x14ac:dyDescent="0.2">
      <c r="A623" s="47" t="e">
        <f t="shared" ref="A623:H623" si="172">#REF!</f>
        <v>#REF!</v>
      </c>
      <c r="B623" s="47" t="e">
        <f t="shared" si="172"/>
        <v>#REF!</v>
      </c>
      <c r="C623" s="47" t="e">
        <f t="shared" si="172"/>
        <v>#REF!</v>
      </c>
      <c r="D623" s="47" t="e">
        <f t="shared" si="172"/>
        <v>#REF!</v>
      </c>
      <c r="E623" s="47" t="e">
        <f t="shared" si="172"/>
        <v>#REF!</v>
      </c>
      <c r="F623" s="47" t="e">
        <f t="shared" si="172"/>
        <v>#REF!</v>
      </c>
      <c r="G623" s="47" t="e">
        <f t="shared" si="172"/>
        <v>#REF!</v>
      </c>
      <c r="H623" s="47" t="e">
        <f t="shared" si="172"/>
        <v>#REF!</v>
      </c>
    </row>
    <row r="624" spans="1:8" ht="12.75" hidden="1" x14ac:dyDescent="0.2">
      <c r="A624" s="47" t="e">
        <f t="shared" ref="A624:H624" si="173">#REF!</f>
        <v>#REF!</v>
      </c>
      <c r="B624" s="47" t="e">
        <f t="shared" si="173"/>
        <v>#REF!</v>
      </c>
      <c r="C624" s="47" t="e">
        <f t="shared" si="173"/>
        <v>#REF!</v>
      </c>
      <c r="D624" s="47" t="e">
        <f t="shared" si="173"/>
        <v>#REF!</v>
      </c>
      <c r="E624" s="47" t="e">
        <f t="shared" si="173"/>
        <v>#REF!</v>
      </c>
      <c r="F624" s="47" t="e">
        <f t="shared" si="173"/>
        <v>#REF!</v>
      </c>
      <c r="G624" s="47" t="e">
        <f t="shared" si="173"/>
        <v>#REF!</v>
      </c>
      <c r="H624" s="47" t="e">
        <f t="shared" si="173"/>
        <v>#REF!</v>
      </c>
    </row>
    <row r="625" spans="1:8" ht="12.75" hidden="1" x14ac:dyDescent="0.2">
      <c r="A625" s="47" t="e">
        <f t="shared" ref="A625:H625" si="174">#REF!</f>
        <v>#REF!</v>
      </c>
      <c r="B625" s="47" t="e">
        <f t="shared" si="174"/>
        <v>#REF!</v>
      </c>
      <c r="C625" s="47" t="e">
        <f t="shared" si="174"/>
        <v>#REF!</v>
      </c>
      <c r="D625" s="47" t="e">
        <f t="shared" si="174"/>
        <v>#REF!</v>
      </c>
      <c r="E625" s="47" t="e">
        <f t="shared" si="174"/>
        <v>#REF!</v>
      </c>
      <c r="F625" s="47" t="e">
        <f t="shared" si="174"/>
        <v>#REF!</v>
      </c>
      <c r="G625" s="47" t="e">
        <f t="shared" si="174"/>
        <v>#REF!</v>
      </c>
      <c r="H625" s="47" t="e">
        <f t="shared" si="174"/>
        <v>#REF!</v>
      </c>
    </row>
    <row r="626" spans="1:8" ht="12.75" hidden="1" x14ac:dyDescent="0.2">
      <c r="A626" s="47" t="e">
        <f t="shared" ref="A626:H626" si="175">#REF!</f>
        <v>#REF!</v>
      </c>
      <c r="B626" s="47" t="e">
        <f t="shared" si="175"/>
        <v>#REF!</v>
      </c>
      <c r="C626" s="47" t="e">
        <f t="shared" si="175"/>
        <v>#REF!</v>
      </c>
      <c r="D626" s="47" t="e">
        <f t="shared" si="175"/>
        <v>#REF!</v>
      </c>
      <c r="E626" s="47" t="e">
        <f t="shared" si="175"/>
        <v>#REF!</v>
      </c>
      <c r="F626" s="47" t="e">
        <f t="shared" si="175"/>
        <v>#REF!</v>
      </c>
      <c r="G626" s="47" t="e">
        <f t="shared" si="175"/>
        <v>#REF!</v>
      </c>
      <c r="H626" s="47" t="e">
        <f t="shared" si="175"/>
        <v>#REF!</v>
      </c>
    </row>
    <row r="627" spans="1:8" ht="12.75" hidden="1" x14ac:dyDescent="0.2">
      <c r="A627" s="47" t="e">
        <f t="shared" ref="A627:H627" si="176">#REF!</f>
        <v>#REF!</v>
      </c>
      <c r="B627" s="47" t="e">
        <f t="shared" si="176"/>
        <v>#REF!</v>
      </c>
      <c r="C627" s="47" t="e">
        <f t="shared" si="176"/>
        <v>#REF!</v>
      </c>
      <c r="D627" s="47" t="e">
        <f t="shared" si="176"/>
        <v>#REF!</v>
      </c>
      <c r="E627" s="47" t="e">
        <f t="shared" si="176"/>
        <v>#REF!</v>
      </c>
      <c r="F627" s="47" t="e">
        <f t="shared" si="176"/>
        <v>#REF!</v>
      </c>
      <c r="G627" s="47" t="e">
        <f t="shared" si="176"/>
        <v>#REF!</v>
      </c>
      <c r="H627" s="47" t="e">
        <f t="shared" si="176"/>
        <v>#REF!</v>
      </c>
    </row>
    <row r="628" spans="1:8" ht="12.75" hidden="1" x14ac:dyDescent="0.2">
      <c r="A628" s="47" t="e">
        <f t="shared" ref="A628:H628" si="177">#REF!</f>
        <v>#REF!</v>
      </c>
      <c r="B628" s="47" t="e">
        <f t="shared" si="177"/>
        <v>#REF!</v>
      </c>
      <c r="C628" s="47" t="e">
        <f t="shared" si="177"/>
        <v>#REF!</v>
      </c>
      <c r="D628" s="47" t="e">
        <f t="shared" si="177"/>
        <v>#REF!</v>
      </c>
      <c r="E628" s="47" t="e">
        <f t="shared" si="177"/>
        <v>#REF!</v>
      </c>
      <c r="F628" s="47" t="e">
        <f t="shared" si="177"/>
        <v>#REF!</v>
      </c>
      <c r="G628" s="47" t="e">
        <f t="shared" si="177"/>
        <v>#REF!</v>
      </c>
      <c r="H628" s="47" t="e">
        <f t="shared" si="177"/>
        <v>#REF!</v>
      </c>
    </row>
    <row r="629" spans="1:8" ht="12.75" hidden="1" x14ac:dyDescent="0.2">
      <c r="A629" s="47" t="e">
        <f t="shared" ref="A629:H629" si="178">#REF!</f>
        <v>#REF!</v>
      </c>
      <c r="B629" s="47" t="e">
        <f t="shared" si="178"/>
        <v>#REF!</v>
      </c>
      <c r="C629" s="47" t="e">
        <f t="shared" si="178"/>
        <v>#REF!</v>
      </c>
      <c r="D629" s="47" t="e">
        <f t="shared" si="178"/>
        <v>#REF!</v>
      </c>
      <c r="E629" s="47" t="e">
        <f t="shared" si="178"/>
        <v>#REF!</v>
      </c>
      <c r="F629" s="47" t="e">
        <f t="shared" si="178"/>
        <v>#REF!</v>
      </c>
      <c r="G629" s="47" t="e">
        <f t="shared" si="178"/>
        <v>#REF!</v>
      </c>
      <c r="H629" s="47" t="e">
        <f t="shared" si="178"/>
        <v>#REF!</v>
      </c>
    </row>
    <row r="630" spans="1:8" ht="12.75" hidden="1" x14ac:dyDescent="0.2">
      <c r="A630" s="47" t="e">
        <f t="shared" ref="A630:H630" si="179">#REF!</f>
        <v>#REF!</v>
      </c>
      <c r="B630" s="47" t="e">
        <f t="shared" si="179"/>
        <v>#REF!</v>
      </c>
      <c r="C630" s="47" t="e">
        <f t="shared" si="179"/>
        <v>#REF!</v>
      </c>
      <c r="D630" s="47" t="e">
        <f t="shared" si="179"/>
        <v>#REF!</v>
      </c>
      <c r="E630" s="47" t="e">
        <f t="shared" si="179"/>
        <v>#REF!</v>
      </c>
      <c r="F630" s="47" t="e">
        <f t="shared" si="179"/>
        <v>#REF!</v>
      </c>
      <c r="G630" s="47" t="e">
        <f t="shared" si="179"/>
        <v>#REF!</v>
      </c>
      <c r="H630" s="47" t="e">
        <f t="shared" si="179"/>
        <v>#REF!</v>
      </c>
    </row>
    <row r="631" spans="1:8" ht="12.75" hidden="1" x14ac:dyDescent="0.2">
      <c r="A631" s="47" t="e">
        <f t="shared" ref="A631:H631" si="180">#REF!</f>
        <v>#REF!</v>
      </c>
      <c r="B631" s="47" t="e">
        <f t="shared" si="180"/>
        <v>#REF!</v>
      </c>
      <c r="C631" s="47" t="e">
        <f t="shared" si="180"/>
        <v>#REF!</v>
      </c>
      <c r="D631" s="47" t="e">
        <f t="shared" si="180"/>
        <v>#REF!</v>
      </c>
      <c r="E631" s="47" t="e">
        <f t="shared" si="180"/>
        <v>#REF!</v>
      </c>
      <c r="F631" s="47" t="e">
        <f t="shared" si="180"/>
        <v>#REF!</v>
      </c>
      <c r="G631" s="47" t="e">
        <f t="shared" si="180"/>
        <v>#REF!</v>
      </c>
      <c r="H631" s="47" t="e">
        <f t="shared" si="180"/>
        <v>#REF!</v>
      </c>
    </row>
    <row r="632" spans="1:8" ht="12.75" hidden="1" x14ac:dyDescent="0.2">
      <c r="A632" s="47" t="e">
        <f t="shared" ref="A632:H632" si="181">#REF!</f>
        <v>#REF!</v>
      </c>
      <c r="B632" s="47" t="e">
        <f t="shared" si="181"/>
        <v>#REF!</v>
      </c>
      <c r="C632" s="47" t="e">
        <f t="shared" si="181"/>
        <v>#REF!</v>
      </c>
      <c r="D632" s="47" t="e">
        <f t="shared" si="181"/>
        <v>#REF!</v>
      </c>
      <c r="E632" s="47" t="e">
        <f t="shared" si="181"/>
        <v>#REF!</v>
      </c>
      <c r="F632" s="47" t="e">
        <f t="shared" si="181"/>
        <v>#REF!</v>
      </c>
      <c r="G632" s="47" t="e">
        <f t="shared" si="181"/>
        <v>#REF!</v>
      </c>
      <c r="H632" s="47" t="e">
        <f t="shared" si="181"/>
        <v>#REF!</v>
      </c>
    </row>
    <row r="633" spans="1:8" ht="12.75" hidden="1" x14ac:dyDescent="0.2">
      <c r="A633" s="47" t="e">
        <f t="shared" ref="A633:H633" si="182">#REF!</f>
        <v>#REF!</v>
      </c>
      <c r="B633" s="47" t="e">
        <f t="shared" si="182"/>
        <v>#REF!</v>
      </c>
      <c r="C633" s="47" t="e">
        <f t="shared" si="182"/>
        <v>#REF!</v>
      </c>
      <c r="D633" s="47" t="e">
        <f t="shared" si="182"/>
        <v>#REF!</v>
      </c>
      <c r="E633" s="47" t="e">
        <f t="shared" si="182"/>
        <v>#REF!</v>
      </c>
      <c r="F633" s="47" t="e">
        <f t="shared" si="182"/>
        <v>#REF!</v>
      </c>
      <c r="G633" s="47" t="e">
        <f t="shared" si="182"/>
        <v>#REF!</v>
      </c>
      <c r="H633" s="47" t="e">
        <f t="shared" si="182"/>
        <v>#REF!</v>
      </c>
    </row>
    <row r="634" spans="1:8" ht="12.75" hidden="1" x14ac:dyDescent="0.2">
      <c r="A634" s="47" t="e">
        <f t="shared" ref="A634:H634" si="183">#REF!</f>
        <v>#REF!</v>
      </c>
      <c r="B634" s="47" t="e">
        <f t="shared" si="183"/>
        <v>#REF!</v>
      </c>
      <c r="C634" s="47" t="e">
        <f t="shared" si="183"/>
        <v>#REF!</v>
      </c>
      <c r="D634" s="47" t="e">
        <f t="shared" si="183"/>
        <v>#REF!</v>
      </c>
      <c r="E634" s="47" t="e">
        <f t="shared" si="183"/>
        <v>#REF!</v>
      </c>
      <c r="F634" s="47" t="e">
        <f t="shared" si="183"/>
        <v>#REF!</v>
      </c>
      <c r="G634" s="47" t="e">
        <f t="shared" si="183"/>
        <v>#REF!</v>
      </c>
      <c r="H634" s="47" t="e">
        <f t="shared" si="183"/>
        <v>#REF!</v>
      </c>
    </row>
    <row r="635" spans="1:8" ht="12.75" hidden="1" x14ac:dyDescent="0.2">
      <c r="A635" s="47" t="e">
        <f t="shared" ref="A635:H635" si="184">#REF!</f>
        <v>#REF!</v>
      </c>
      <c r="B635" s="47" t="e">
        <f t="shared" si="184"/>
        <v>#REF!</v>
      </c>
      <c r="C635" s="47" t="e">
        <f t="shared" si="184"/>
        <v>#REF!</v>
      </c>
      <c r="D635" s="47" t="e">
        <f t="shared" si="184"/>
        <v>#REF!</v>
      </c>
      <c r="E635" s="47" t="e">
        <f t="shared" si="184"/>
        <v>#REF!</v>
      </c>
      <c r="F635" s="47" t="e">
        <f t="shared" si="184"/>
        <v>#REF!</v>
      </c>
      <c r="G635" s="47" t="e">
        <f t="shared" si="184"/>
        <v>#REF!</v>
      </c>
      <c r="H635" s="47" t="e">
        <f t="shared" si="184"/>
        <v>#REF!</v>
      </c>
    </row>
    <row r="636" spans="1:8" ht="12.75" hidden="1" x14ac:dyDescent="0.2">
      <c r="A636" s="47" t="e">
        <f t="shared" ref="A636:H636" si="185">#REF!</f>
        <v>#REF!</v>
      </c>
      <c r="B636" s="47" t="e">
        <f t="shared" si="185"/>
        <v>#REF!</v>
      </c>
      <c r="C636" s="47" t="e">
        <f t="shared" si="185"/>
        <v>#REF!</v>
      </c>
      <c r="D636" s="47" t="e">
        <f t="shared" si="185"/>
        <v>#REF!</v>
      </c>
      <c r="E636" s="47" t="e">
        <f t="shared" si="185"/>
        <v>#REF!</v>
      </c>
      <c r="F636" s="47" t="e">
        <f t="shared" si="185"/>
        <v>#REF!</v>
      </c>
      <c r="G636" s="47" t="e">
        <f t="shared" si="185"/>
        <v>#REF!</v>
      </c>
      <c r="H636" s="47" t="e">
        <f t="shared" si="185"/>
        <v>#REF!</v>
      </c>
    </row>
    <row r="637" spans="1:8" ht="12.75" hidden="1" x14ac:dyDescent="0.2">
      <c r="A637" s="47" t="e">
        <f t="shared" ref="A637:H637" si="186">#REF!</f>
        <v>#REF!</v>
      </c>
      <c r="B637" s="47" t="e">
        <f t="shared" si="186"/>
        <v>#REF!</v>
      </c>
      <c r="C637" s="47" t="e">
        <f t="shared" si="186"/>
        <v>#REF!</v>
      </c>
      <c r="D637" s="47" t="e">
        <f t="shared" si="186"/>
        <v>#REF!</v>
      </c>
      <c r="E637" s="47" t="e">
        <f t="shared" si="186"/>
        <v>#REF!</v>
      </c>
      <c r="F637" s="47" t="e">
        <f t="shared" si="186"/>
        <v>#REF!</v>
      </c>
      <c r="G637" s="47" t="e">
        <f t="shared" si="186"/>
        <v>#REF!</v>
      </c>
      <c r="H637" s="47" t="e">
        <f t="shared" si="186"/>
        <v>#REF!</v>
      </c>
    </row>
    <row r="638" spans="1:8" ht="12.75" hidden="1" x14ac:dyDescent="0.2">
      <c r="A638" s="47" t="e">
        <f t="shared" ref="A638:H638" si="187">#REF!</f>
        <v>#REF!</v>
      </c>
      <c r="B638" s="47" t="e">
        <f t="shared" si="187"/>
        <v>#REF!</v>
      </c>
      <c r="C638" s="47" t="e">
        <f t="shared" si="187"/>
        <v>#REF!</v>
      </c>
      <c r="D638" s="47" t="e">
        <f t="shared" si="187"/>
        <v>#REF!</v>
      </c>
      <c r="E638" s="47" t="e">
        <f t="shared" si="187"/>
        <v>#REF!</v>
      </c>
      <c r="F638" s="47" t="e">
        <f t="shared" si="187"/>
        <v>#REF!</v>
      </c>
      <c r="G638" s="47" t="e">
        <f t="shared" si="187"/>
        <v>#REF!</v>
      </c>
      <c r="H638" s="47" t="e">
        <f t="shared" si="187"/>
        <v>#REF!</v>
      </c>
    </row>
    <row r="639" spans="1:8" ht="12.75" hidden="1" x14ac:dyDescent="0.2">
      <c r="A639" s="47" t="e">
        <f t="shared" ref="A639:H639" si="188">#REF!</f>
        <v>#REF!</v>
      </c>
      <c r="B639" s="47" t="e">
        <f t="shared" si="188"/>
        <v>#REF!</v>
      </c>
      <c r="C639" s="47" t="e">
        <f t="shared" si="188"/>
        <v>#REF!</v>
      </c>
      <c r="D639" s="47" t="e">
        <f t="shared" si="188"/>
        <v>#REF!</v>
      </c>
      <c r="E639" s="47" t="e">
        <f t="shared" si="188"/>
        <v>#REF!</v>
      </c>
      <c r="F639" s="47" t="e">
        <f t="shared" si="188"/>
        <v>#REF!</v>
      </c>
      <c r="G639" s="47" t="e">
        <f t="shared" si="188"/>
        <v>#REF!</v>
      </c>
      <c r="H639" s="47" t="e">
        <f t="shared" si="188"/>
        <v>#REF!</v>
      </c>
    </row>
    <row r="640" spans="1:8" ht="12.75" hidden="1" x14ac:dyDescent="0.2">
      <c r="A640" s="47" t="e">
        <f t="shared" ref="A640:H640" si="189">#REF!</f>
        <v>#REF!</v>
      </c>
      <c r="B640" s="47" t="e">
        <f t="shared" si="189"/>
        <v>#REF!</v>
      </c>
      <c r="C640" s="47" t="e">
        <f t="shared" si="189"/>
        <v>#REF!</v>
      </c>
      <c r="D640" s="47" t="e">
        <f t="shared" si="189"/>
        <v>#REF!</v>
      </c>
      <c r="E640" s="47" t="e">
        <f t="shared" si="189"/>
        <v>#REF!</v>
      </c>
      <c r="F640" s="47" t="e">
        <f t="shared" si="189"/>
        <v>#REF!</v>
      </c>
      <c r="G640" s="47" t="e">
        <f t="shared" si="189"/>
        <v>#REF!</v>
      </c>
      <c r="H640" s="47" t="e">
        <f t="shared" si="189"/>
        <v>#REF!</v>
      </c>
    </row>
    <row r="641" spans="1:8" ht="12.75" hidden="1" x14ac:dyDescent="0.2">
      <c r="A641" s="47" t="e">
        <f t="shared" ref="A641:H641" si="190">#REF!</f>
        <v>#REF!</v>
      </c>
      <c r="B641" s="47" t="e">
        <f t="shared" si="190"/>
        <v>#REF!</v>
      </c>
      <c r="C641" s="47" t="e">
        <f t="shared" si="190"/>
        <v>#REF!</v>
      </c>
      <c r="D641" s="47" t="e">
        <f t="shared" si="190"/>
        <v>#REF!</v>
      </c>
      <c r="E641" s="47" t="e">
        <f t="shared" si="190"/>
        <v>#REF!</v>
      </c>
      <c r="F641" s="47" t="e">
        <f t="shared" si="190"/>
        <v>#REF!</v>
      </c>
      <c r="G641" s="47" t="e">
        <f t="shared" si="190"/>
        <v>#REF!</v>
      </c>
      <c r="H641" s="47" t="e">
        <f t="shared" si="190"/>
        <v>#REF!</v>
      </c>
    </row>
    <row r="642" spans="1:8" ht="12.75" hidden="1" x14ac:dyDescent="0.2">
      <c r="A642" s="47" t="e">
        <f t="shared" ref="A642:H642" si="191">#REF!</f>
        <v>#REF!</v>
      </c>
      <c r="B642" s="47" t="e">
        <f t="shared" si="191"/>
        <v>#REF!</v>
      </c>
      <c r="C642" s="47" t="e">
        <f t="shared" si="191"/>
        <v>#REF!</v>
      </c>
      <c r="D642" s="47" t="e">
        <f t="shared" si="191"/>
        <v>#REF!</v>
      </c>
      <c r="E642" s="47" t="e">
        <f t="shared" si="191"/>
        <v>#REF!</v>
      </c>
      <c r="F642" s="47" t="e">
        <f t="shared" si="191"/>
        <v>#REF!</v>
      </c>
      <c r="G642" s="47" t="e">
        <f t="shared" si="191"/>
        <v>#REF!</v>
      </c>
      <c r="H642" s="47" t="e">
        <f t="shared" si="191"/>
        <v>#REF!</v>
      </c>
    </row>
    <row r="643" spans="1:8" ht="12.75" hidden="1" x14ac:dyDescent="0.2">
      <c r="A643" s="47" t="e">
        <f t="shared" ref="A643:H643" si="192">#REF!</f>
        <v>#REF!</v>
      </c>
      <c r="B643" s="47" t="e">
        <f t="shared" si="192"/>
        <v>#REF!</v>
      </c>
      <c r="C643" s="47" t="e">
        <f t="shared" si="192"/>
        <v>#REF!</v>
      </c>
      <c r="D643" s="47" t="e">
        <f t="shared" si="192"/>
        <v>#REF!</v>
      </c>
      <c r="E643" s="47" t="e">
        <f t="shared" si="192"/>
        <v>#REF!</v>
      </c>
      <c r="F643" s="47" t="e">
        <f t="shared" si="192"/>
        <v>#REF!</v>
      </c>
      <c r="G643" s="47" t="e">
        <f t="shared" si="192"/>
        <v>#REF!</v>
      </c>
      <c r="H643" s="47" t="e">
        <f t="shared" si="192"/>
        <v>#REF!</v>
      </c>
    </row>
    <row r="644" spans="1:8" ht="12.75" hidden="1" x14ac:dyDescent="0.2">
      <c r="A644" s="47" t="e">
        <f t="shared" ref="A644:H644" si="193">#REF!</f>
        <v>#REF!</v>
      </c>
      <c r="B644" s="47" t="e">
        <f t="shared" si="193"/>
        <v>#REF!</v>
      </c>
      <c r="C644" s="47" t="e">
        <f t="shared" si="193"/>
        <v>#REF!</v>
      </c>
      <c r="D644" s="47" t="e">
        <f t="shared" si="193"/>
        <v>#REF!</v>
      </c>
      <c r="E644" s="47" t="e">
        <f t="shared" si="193"/>
        <v>#REF!</v>
      </c>
      <c r="F644" s="47" t="e">
        <f t="shared" si="193"/>
        <v>#REF!</v>
      </c>
      <c r="G644" s="47" t="e">
        <f t="shared" si="193"/>
        <v>#REF!</v>
      </c>
      <c r="H644" s="47" t="e">
        <f t="shared" si="193"/>
        <v>#REF!</v>
      </c>
    </row>
    <row r="645" spans="1:8" ht="12.75" hidden="1" x14ac:dyDescent="0.2">
      <c r="A645" s="47" t="e">
        <f t="shared" ref="A645:H645" si="194">#REF!</f>
        <v>#REF!</v>
      </c>
      <c r="B645" s="47" t="e">
        <f t="shared" si="194"/>
        <v>#REF!</v>
      </c>
      <c r="C645" s="47" t="e">
        <f t="shared" si="194"/>
        <v>#REF!</v>
      </c>
      <c r="D645" s="47" t="e">
        <f t="shared" si="194"/>
        <v>#REF!</v>
      </c>
      <c r="E645" s="47" t="e">
        <f t="shared" si="194"/>
        <v>#REF!</v>
      </c>
      <c r="F645" s="47" t="e">
        <f t="shared" si="194"/>
        <v>#REF!</v>
      </c>
      <c r="G645" s="47" t="e">
        <f t="shared" si="194"/>
        <v>#REF!</v>
      </c>
      <c r="H645" s="47" t="e">
        <f t="shared" si="194"/>
        <v>#REF!</v>
      </c>
    </row>
    <row r="646" spans="1:8" ht="12.75" hidden="1" x14ac:dyDescent="0.2">
      <c r="A646" s="47" t="e">
        <f t="shared" ref="A646:H646" si="195">#REF!</f>
        <v>#REF!</v>
      </c>
      <c r="B646" s="47" t="e">
        <f t="shared" si="195"/>
        <v>#REF!</v>
      </c>
      <c r="C646" s="47" t="e">
        <f t="shared" si="195"/>
        <v>#REF!</v>
      </c>
      <c r="D646" s="47" t="e">
        <f t="shared" si="195"/>
        <v>#REF!</v>
      </c>
      <c r="E646" s="47" t="e">
        <f t="shared" si="195"/>
        <v>#REF!</v>
      </c>
      <c r="F646" s="47" t="e">
        <f t="shared" si="195"/>
        <v>#REF!</v>
      </c>
      <c r="G646" s="47" t="e">
        <f t="shared" si="195"/>
        <v>#REF!</v>
      </c>
      <c r="H646" s="47" t="e">
        <f t="shared" si="195"/>
        <v>#REF!</v>
      </c>
    </row>
    <row r="647" spans="1:8" ht="12.75" hidden="1" x14ac:dyDescent="0.2">
      <c r="A647" s="47" t="e">
        <f t="shared" ref="A647:H647" si="196">#REF!</f>
        <v>#REF!</v>
      </c>
      <c r="B647" s="47" t="e">
        <f t="shared" si="196"/>
        <v>#REF!</v>
      </c>
      <c r="C647" s="47" t="e">
        <f t="shared" si="196"/>
        <v>#REF!</v>
      </c>
      <c r="D647" s="47" t="e">
        <f t="shared" si="196"/>
        <v>#REF!</v>
      </c>
      <c r="E647" s="47" t="e">
        <f t="shared" si="196"/>
        <v>#REF!</v>
      </c>
      <c r="F647" s="47" t="e">
        <f t="shared" si="196"/>
        <v>#REF!</v>
      </c>
      <c r="G647" s="47" t="e">
        <f t="shared" si="196"/>
        <v>#REF!</v>
      </c>
      <c r="H647" s="47" t="e">
        <f t="shared" si="196"/>
        <v>#REF!</v>
      </c>
    </row>
    <row r="648" spans="1:8" ht="12.75" hidden="1" x14ac:dyDescent="0.2">
      <c r="A648" s="47" t="e">
        <f t="shared" ref="A648:H648" si="197">#REF!</f>
        <v>#REF!</v>
      </c>
      <c r="B648" s="47" t="e">
        <f t="shared" si="197"/>
        <v>#REF!</v>
      </c>
      <c r="C648" s="47" t="e">
        <f t="shared" si="197"/>
        <v>#REF!</v>
      </c>
      <c r="D648" s="47" t="e">
        <f t="shared" si="197"/>
        <v>#REF!</v>
      </c>
      <c r="E648" s="47" t="e">
        <f t="shared" si="197"/>
        <v>#REF!</v>
      </c>
      <c r="F648" s="47" t="e">
        <f t="shared" si="197"/>
        <v>#REF!</v>
      </c>
      <c r="G648" s="47" t="e">
        <f t="shared" si="197"/>
        <v>#REF!</v>
      </c>
      <c r="H648" s="47" t="e">
        <f t="shared" si="197"/>
        <v>#REF!</v>
      </c>
    </row>
    <row r="649" spans="1:8" ht="12.75" hidden="1" x14ac:dyDescent="0.2">
      <c r="A649" s="47" t="e">
        <f t="shared" ref="A649:H649" si="198">#REF!</f>
        <v>#REF!</v>
      </c>
      <c r="B649" s="47" t="e">
        <f t="shared" si="198"/>
        <v>#REF!</v>
      </c>
      <c r="C649" s="47" t="e">
        <f t="shared" si="198"/>
        <v>#REF!</v>
      </c>
      <c r="D649" s="47" t="e">
        <f t="shared" si="198"/>
        <v>#REF!</v>
      </c>
      <c r="E649" s="47" t="e">
        <f t="shared" si="198"/>
        <v>#REF!</v>
      </c>
      <c r="F649" s="47" t="e">
        <f t="shared" si="198"/>
        <v>#REF!</v>
      </c>
      <c r="G649" s="47" t="e">
        <f t="shared" si="198"/>
        <v>#REF!</v>
      </c>
      <c r="H649" s="47" t="e">
        <f t="shared" si="198"/>
        <v>#REF!</v>
      </c>
    </row>
    <row r="650" spans="1:8" ht="12.75" hidden="1" x14ac:dyDescent="0.2">
      <c r="A650" s="47" t="e">
        <f t="shared" ref="A650:H650" si="199">#REF!</f>
        <v>#REF!</v>
      </c>
      <c r="B650" s="47" t="e">
        <f t="shared" si="199"/>
        <v>#REF!</v>
      </c>
      <c r="C650" s="47" t="e">
        <f t="shared" si="199"/>
        <v>#REF!</v>
      </c>
      <c r="D650" s="47" t="e">
        <f t="shared" si="199"/>
        <v>#REF!</v>
      </c>
      <c r="E650" s="47" t="e">
        <f t="shared" si="199"/>
        <v>#REF!</v>
      </c>
      <c r="F650" s="47" t="e">
        <f t="shared" si="199"/>
        <v>#REF!</v>
      </c>
      <c r="G650" s="47" t="e">
        <f t="shared" si="199"/>
        <v>#REF!</v>
      </c>
      <c r="H650" s="47" t="e">
        <f t="shared" si="199"/>
        <v>#REF!</v>
      </c>
    </row>
    <row r="651" spans="1:8" ht="12.75" hidden="1" x14ac:dyDescent="0.2">
      <c r="A651" s="47" t="e">
        <f t="shared" ref="A651:H651" si="200">#REF!</f>
        <v>#REF!</v>
      </c>
      <c r="B651" s="47" t="e">
        <f t="shared" si="200"/>
        <v>#REF!</v>
      </c>
      <c r="C651" s="47" t="e">
        <f t="shared" si="200"/>
        <v>#REF!</v>
      </c>
      <c r="D651" s="47" t="e">
        <f t="shared" si="200"/>
        <v>#REF!</v>
      </c>
      <c r="E651" s="47" t="e">
        <f t="shared" si="200"/>
        <v>#REF!</v>
      </c>
      <c r="F651" s="47" t="e">
        <f t="shared" si="200"/>
        <v>#REF!</v>
      </c>
      <c r="G651" s="47" t="e">
        <f t="shared" si="200"/>
        <v>#REF!</v>
      </c>
      <c r="H651" s="47" t="e">
        <f t="shared" si="200"/>
        <v>#REF!</v>
      </c>
    </row>
    <row r="652" spans="1:8" ht="12.75" hidden="1" x14ac:dyDescent="0.2">
      <c r="A652" s="47" t="e">
        <f t="shared" ref="A652:H652" si="201">#REF!</f>
        <v>#REF!</v>
      </c>
      <c r="B652" s="47" t="e">
        <f t="shared" si="201"/>
        <v>#REF!</v>
      </c>
      <c r="C652" s="47" t="e">
        <f t="shared" si="201"/>
        <v>#REF!</v>
      </c>
      <c r="D652" s="47" t="e">
        <f t="shared" si="201"/>
        <v>#REF!</v>
      </c>
      <c r="E652" s="47" t="e">
        <f t="shared" si="201"/>
        <v>#REF!</v>
      </c>
      <c r="F652" s="47" t="e">
        <f t="shared" si="201"/>
        <v>#REF!</v>
      </c>
      <c r="G652" s="47" t="e">
        <f t="shared" si="201"/>
        <v>#REF!</v>
      </c>
      <c r="H652" s="47" t="e">
        <f t="shared" si="201"/>
        <v>#REF!</v>
      </c>
    </row>
    <row r="653" spans="1:8" ht="12.75" hidden="1" x14ac:dyDescent="0.2">
      <c r="A653" s="47" t="e">
        <f t="shared" ref="A653:H653" si="202">#REF!</f>
        <v>#REF!</v>
      </c>
      <c r="B653" s="47" t="e">
        <f t="shared" si="202"/>
        <v>#REF!</v>
      </c>
      <c r="C653" s="47" t="e">
        <f t="shared" si="202"/>
        <v>#REF!</v>
      </c>
      <c r="D653" s="47" t="e">
        <f t="shared" si="202"/>
        <v>#REF!</v>
      </c>
      <c r="E653" s="47" t="e">
        <f t="shared" si="202"/>
        <v>#REF!</v>
      </c>
      <c r="F653" s="47" t="e">
        <f t="shared" si="202"/>
        <v>#REF!</v>
      </c>
      <c r="G653" s="47" t="e">
        <f t="shared" si="202"/>
        <v>#REF!</v>
      </c>
      <c r="H653" s="47" t="e">
        <f t="shared" si="202"/>
        <v>#REF!</v>
      </c>
    </row>
    <row r="654" spans="1:8" ht="12.75" hidden="1" x14ac:dyDescent="0.2">
      <c r="A654" s="47" t="e">
        <f t="shared" ref="A654:H654" si="203">#REF!</f>
        <v>#REF!</v>
      </c>
      <c r="B654" s="47" t="e">
        <f t="shared" si="203"/>
        <v>#REF!</v>
      </c>
      <c r="C654" s="47" t="e">
        <f t="shared" si="203"/>
        <v>#REF!</v>
      </c>
      <c r="D654" s="47" t="e">
        <f t="shared" si="203"/>
        <v>#REF!</v>
      </c>
      <c r="E654" s="47" t="e">
        <f t="shared" si="203"/>
        <v>#REF!</v>
      </c>
      <c r="F654" s="47" t="e">
        <f t="shared" si="203"/>
        <v>#REF!</v>
      </c>
      <c r="G654" s="47" t="e">
        <f t="shared" si="203"/>
        <v>#REF!</v>
      </c>
      <c r="H654" s="47" t="e">
        <f t="shared" si="203"/>
        <v>#REF!</v>
      </c>
    </row>
    <row r="655" spans="1:8" ht="12.75" hidden="1" x14ac:dyDescent="0.2">
      <c r="A655" s="47" t="e">
        <f t="shared" ref="A655:H655" si="204">#REF!</f>
        <v>#REF!</v>
      </c>
      <c r="B655" s="47" t="e">
        <f t="shared" si="204"/>
        <v>#REF!</v>
      </c>
      <c r="C655" s="47" t="e">
        <f t="shared" si="204"/>
        <v>#REF!</v>
      </c>
      <c r="D655" s="47" t="e">
        <f t="shared" si="204"/>
        <v>#REF!</v>
      </c>
      <c r="E655" s="47" t="e">
        <f t="shared" si="204"/>
        <v>#REF!</v>
      </c>
      <c r="F655" s="47" t="e">
        <f t="shared" si="204"/>
        <v>#REF!</v>
      </c>
      <c r="G655" s="47" t="e">
        <f t="shared" si="204"/>
        <v>#REF!</v>
      </c>
      <c r="H655" s="47" t="e">
        <f t="shared" si="204"/>
        <v>#REF!</v>
      </c>
    </row>
    <row r="656" spans="1:8" ht="12.75" hidden="1" x14ac:dyDescent="0.2">
      <c r="A656" s="47" t="e">
        <f t="shared" ref="A656:H656" si="205">#REF!</f>
        <v>#REF!</v>
      </c>
      <c r="B656" s="47" t="e">
        <f t="shared" si="205"/>
        <v>#REF!</v>
      </c>
      <c r="C656" s="47" t="e">
        <f t="shared" si="205"/>
        <v>#REF!</v>
      </c>
      <c r="D656" s="47" t="e">
        <f t="shared" si="205"/>
        <v>#REF!</v>
      </c>
      <c r="E656" s="47" t="e">
        <f t="shared" si="205"/>
        <v>#REF!</v>
      </c>
      <c r="F656" s="47" t="e">
        <f t="shared" si="205"/>
        <v>#REF!</v>
      </c>
      <c r="G656" s="47" t="e">
        <f t="shared" si="205"/>
        <v>#REF!</v>
      </c>
      <c r="H656" s="47" t="e">
        <f t="shared" si="205"/>
        <v>#REF!</v>
      </c>
    </row>
    <row r="657" spans="1:8" ht="12.75" hidden="1" x14ac:dyDescent="0.2">
      <c r="A657" s="47" t="e">
        <f t="shared" ref="A657:H657" si="206">#REF!</f>
        <v>#REF!</v>
      </c>
      <c r="B657" s="47" t="e">
        <f t="shared" si="206"/>
        <v>#REF!</v>
      </c>
      <c r="C657" s="47" t="e">
        <f t="shared" si="206"/>
        <v>#REF!</v>
      </c>
      <c r="D657" s="47" t="e">
        <f t="shared" si="206"/>
        <v>#REF!</v>
      </c>
      <c r="E657" s="47" t="e">
        <f t="shared" si="206"/>
        <v>#REF!</v>
      </c>
      <c r="F657" s="47" t="e">
        <f t="shared" si="206"/>
        <v>#REF!</v>
      </c>
      <c r="G657" s="47" t="e">
        <f t="shared" si="206"/>
        <v>#REF!</v>
      </c>
      <c r="H657" s="47" t="e">
        <f t="shared" si="206"/>
        <v>#REF!</v>
      </c>
    </row>
    <row r="658" spans="1:8" ht="12.75" hidden="1" x14ac:dyDescent="0.2">
      <c r="A658" s="47" t="e">
        <f t="shared" ref="A658:H658" si="207">#REF!</f>
        <v>#REF!</v>
      </c>
      <c r="B658" s="47" t="e">
        <f t="shared" si="207"/>
        <v>#REF!</v>
      </c>
      <c r="C658" s="47" t="e">
        <f t="shared" si="207"/>
        <v>#REF!</v>
      </c>
      <c r="D658" s="47" t="e">
        <f t="shared" si="207"/>
        <v>#REF!</v>
      </c>
      <c r="E658" s="47" t="e">
        <f t="shared" si="207"/>
        <v>#REF!</v>
      </c>
      <c r="F658" s="47" t="e">
        <f t="shared" si="207"/>
        <v>#REF!</v>
      </c>
      <c r="G658" s="47" t="e">
        <f t="shared" si="207"/>
        <v>#REF!</v>
      </c>
      <c r="H658" s="47" t="e">
        <f t="shared" si="207"/>
        <v>#REF!</v>
      </c>
    </row>
    <row r="659" spans="1:8" ht="12.75" hidden="1" x14ac:dyDescent="0.2">
      <c r="A659" s="47" t="e">
        <f t="shared" ref="A659:H659" si="208">#REF!</f>
        <v>#REF!</v>
      </c>
      <c r="B659" s="47" t="e">
        <f t="shared" si="208"/>
        <v>#REF!</v>
      </c>
      <c r="C659" s="47" t="e">
        <f t="shared" si="208"/>
        <v>#REF!</v>
      </c>
      <c r="D659" s="47" t="e">
        <f t="shared" si="208"/>
        <v>#REF!</v>
      </c>
      <c r="E659" s="47" t="e">
        <f t="shared" si="208"/>
        <v>#REF!</v>
      </c>
      <c r="F659" s="47" t="e">
        <f t="shared" si="208"/>
        <v>#REF!</v>
      </c>
      <c r="G659" s="47" t="e">
        <f t="shared" si="208"/>
        <v>#REF!</v>
      </c>
      <c r="H659" s="47" t="e">
        <f t="shared" si="208"/>
        <v>#REF!</v>
      </c>
    </row>
    <row r="660" spans="1:8" ht="12.75" hidden="1" x14ac:dyDescent="0.2">
      <c r="A660" s="47" t="e">
        <f t="shared" ref="A660:H660" si="209">#REF!</f>
        <v>#REF!</v>
      </c>
      <c r="B660" s="47" t="e">
        <f t="shared" si="209"/>
        <v>#REF!</v>
      </c>
      <c r="C660" s="47" t="e">
        <f t="shared" si="209"/>
        <v>#REF!</v>
      </c>
      <c r="D660" s="47" t="e">
        <f t="shared" si="209"/>
        <v>#REF!</v>
      </c>
      <c r="E660" s="47" t="e">
        <f t="shared" si="209"/>
        <v>#REF!</v>
      </c>
      <c r="F660" s="47" t="e">
        <f t="shared" si="209"/>
        <v>#REF!</v>
      </c>
      <c r="G660" s="47" t="e">
        <f t="shared" si="209"/>
        <v>#REF!</v>
      </c>
      <c r="H660" s="47" t="e">
        <f t="shared" si="209"/>
        <v>#REF!</v>
      </c>
    </row>
    <row r="661" spans="1:8" ht="12.75" hidden="1" x14ac:dyDescent="0.2">
      <c r="A661" s="47" t="e">
        <f t="shared" ref="A661:H661" si="210">#REF!</f>
        <v>#REF!</v>
      </c>
      <c r="B661" s="47" t="e">
        <f t="shared" si="210"/>
        <v>#REF!</v>
      </c>
      <c r="C661" s="47" t="e">
        <f t="shared" si="210"/>
        <v>#REF!</v>
      </c>
      <c r="D661" s="47" t="e">
        <f t="shared" si="210"/>
        <v>#REF!</v>
      </c>
      <c r="E661" s="47" t="e">
        <f t="shared" si="210"/>
        <v>#REF!</v>
      </c>
      <c r="F661" s="47" t="e">
        <f t="shared" si="210"/>
        <v>#REF!</v>
      </c>
      <c r="G661" s="47" t="e">
        <f t="shared" si="210"/>
        <v>#REF!</v>
      </c>
      <c r="H661" s="47" t="e">
        <f t="shared" si="210"/>
        <v>#REF!</v>
      </c>
    </row>
    <row r="662" spans="1:8" ht="12.75" hidden="1" x14ac:dyDescent="0.2">
      <c r="A662" s="47" t="e">
        <f t="shared" ref="A662:H662" si="211">#REF!</f>
        <v>#REF!</v>
      </c>
      <c r="B662" s="47" t="e">
        <f t="shared" si="211"/>
        <v>#REF!</v>
      </c>
      <c r="C662" s="47" t="e">
        <f t="shared" si="211"/>
        <v>#REF!</v>
      </c>
      <c r="D662" s="47" t="e">
        <f t="shared" si="211"/>
        <v>#REF!</v>
      </c>
      <c r="E662" s="47" t="e">
        <f t="shared" si="211"/>
        <v>#REF!</v>
      </c>
      <c r="F662" s="47" t="e">
        <f t="shared" si="211"/>
        <v>#REF!</v>
      </c>
      <c r="G662" s="47" t="e">
        <f t="shared" si="211"/>
        <v>#REF!</v>
      </c>
      <c r="H662" s="47" t="e">
        <f t="shared" si="211"/>
        <v>#REF!</v>
      </c>
    </row>
    <row r="663" spans="1:8" ht="12.75" hidden="1" x14ac:dyDescent="0.2">
      <c r="A663" s="47" t="e">
        <f t="shared" ref="A663:H663" si="212">#REF!</f>
        <v>#REF!</v>
      </c>
      <c r="B663" s="47" t="e">
        <f t="shared" si="212"/>
        <v>#REF!</v>
      </c>
      <c r="C663" s="47" t="e">
        <f t="shared" si="212"/>
        <v>#REF!</v>
      </c>
      <c r="D663" s="47" t="e">
        <f t="shared" si="212"/>
        <v>#REF!</v>
      </c>
      <c r="E663" s="47" t="e">
        <f t="shared" si="212"/>
        <v>#REF!</v>
      </c>
      <c r="F663" s="47" t="e">
        <f t="shared" si="212"/>
        <v>#REF!</v>
      </c>
      <c r="G663" s="47" t="e">
        <f t="shared" si="212"/>
        <v>#REF!</v>
      </c>
      <c r="H663" s="47" t="e">
        <f t="shared" si="212"/>
        <v>#REF!</v>
      </c>
    </row>
    <row r="664" spans="1:8" ht="12.75" hidden="1" x14ac:dyDescent="0.2">
      <c r="A664" s="47" t="e">
        <f t="shared" ref="A664:H664" si="213">#REF!</f>
        <v>#REF!</v>
      </c>
      <c r="B664" s="47" t="e">
        <f t="shared" si="213"/>
        <v>#REF!</v>
      </c>
      <c r="C664" s="47" t="e">
        <f t="shared" si="213"/>
        <v>#REF!</v>
      </c>
      <c r="D664" s="47" t="e">
        <f t="shared" si="213"/>
        <v>#REF!</v>
      </c>
      <c r="E664" s="47" t="e">
        <f t="shared" si="213"/>
        <v>#REF!</v>
      </c>
      <c r="F664" s="47" t="e">
        <f t="shared" si="213"/>
        <v>#REF!</v>
      </c>
      <c r="G664" s="47" t="e">
        <f t="shared" si="213"/>
        <v>#REF!</v>
      </c>
      <c r="H664" s="47" t="e">
        <f t="shared" si="213"/>
        <v>#REF!</v>
      </c>
    </row>
    <row r="665" spans="1:8" ht="12.75" hidden="1" x14ac:dyDescent="0.2">
      <c r="A665" s="47" t="e">
        <f t="shared" ref="A665:H665" si="214">#REF!</f>
        <v>#REF!</v>
      </c>
      <c r="B665" s="47" t="e">
        <f t="shared" si="214"/>
        <v>#REF!</v>
      </c>
      <c r="C665" s="47" t="e">
        <f t="shared" si="214"/>
        <v>#REF!</v>
      </c>
      <c r="D665" s="47" t="e">
        <f t="shared" si="214"/>
        <v>#REF!</v>
      </c>
      <c r="E665" s="47" t="e">
        <f t="shared" si="214"/>
        <v>#REF!</v>
      </c>
      <c r="F665" s="47" t="e">
        <f t="shared" si="214"/>
        <v>#REF!</v>
      </c>
      <c r="G665" s="47" t="e">
        <f t="shared" si="214"/>
        <v>#REF!</v>
      </c>
      <c r="H665" s="47" t="e">
        <f t="shared" si="214"/>
        <v>#REF!</v>
      </c>
    </row>
    <row r="666" spans="1:8" ht="12.75" hidden="1" x14ac:dyDescent="0.2">
      <c r="A666" s="47" t="e">
        <f t="shared" ref="A666:H666" si="215">#REF!</f>
        <v>#REF!</v>
      </c>
      <c r="B666" s="47" t="e">
        <f t="shared" si="215"/>
        <v>#REF!</v>
      </c>
      <c r="C666" s="47" t="e">
        <f t="shared" si="215"/>
        <v>#REF!</v>
      </c>
      <c r="D666" s="47" t="e">
        <f t="shared" si="215"/>
        <v>#REF!</v>
      </c>
      <c r="E666" s="47" t="e">
        <f t="shared" si="215"/>
        <v>#REF!</v>
      </c>
      <c r="F666" s="47" t="e">
        <f t="shared" si="215"/>
        <v>#REF!</v>
      </c>
      <c r="G666" s="47" t="e">
        <f t="shared" si="215"/>
        <v>#REF!</v>
      </c>
      <c r="H666" s="47" t="e">
        <f t="shared" si="215"/>
        <v>#REF!</v>
      </c>
    </row>
    <row r="667" spans="1:8" ht="12.75" hidden="1" x14ac:dyDescent="0.2">
      <c r="A667" s="47" t="e">
        <f t="shared" ref="A667:H667" si="216">#REF!</f>
        <v>#REF!</v>
      </c>
      <c r="B667" s="47" t="e">
        <f t="shared" si="216"/>
        <v>#REF!</v>
      </c>
      <c r="C667" s="47" t="e">
        <f t="shared" si="216"/>
        <v>#REF!</v>
      </c>
      <c r="D667" s="47" t="e">
        <f t="shared" si="216"/>
        <v>#REF!</v>
      </c>
      <c r="E667" s="47" t="e">
        <f t="shared" si="216"/>
        <v>#REF!</v>
      </c>
      <c r="F667" s="47" t="e">
        <f t="shared" si="216"/>
        <v>#REF!</v>
      </c>
      <c r="G667" s="47" t="e">
        <f t="shared" si="216"/>
        <v>#REF!</v>
      </c>
      <c r="H667" s="47" t="e">
        <f t="shared" si="216"/>
        <v>#REF!</v>
      </c>
    </row>
    <row r="668" spans="1:8" ht="12.75" hidden="1" x14ac:dyDescent="0.2">
      <c r="A668" s="47" t="e">
        <f t="shared" ref="A668:H668" si="217">#REF!</f>
        <v>#REF!</v>
      </c>
      <c r="B668" s="47" t="e">
        <f t="shared" si="217"/>
        <v>#REF!</v>
      </c>
      <c r="C668" s="47" t="e">
        <f t="shared" si="217"/>
        <v>#REF!</v>
      </c>
      <c r="D668" s="47" t="e">
        <f t="shared" si="217"/>
        <v>#REF!</v>
      </c>
      <c r="E668" s="47" t="e">
        <f t="shared" si="217"/>
        <v>#REF!</v>
      </c>
      <c r="F668" s="47" t="e">
        <f t="shared" si="217"/>
        <v>#REF!</v>
      </c>
      <c r="G668" s="47" t="e">
        <f t="shared" si="217"/>
        <v>#REF!</v>
      </c>
      <c r="H668" s="47" t="e">
        <f t="shared" si="217"/>
        <v>#REF!</v>
      </c>
    </row>
    <row r="669" spans="1:8" ht="12.75" hidden="1" x14ac:dyDescent="0.2">
      <c r="A669" s="47" t="e">
        <f t="shared" ref="A669:H669" si="218">#REF!</f>
        <v>#REF!</v>
      </c>
      <c r="B669" s="47" t="e">
        <f t="shared" si="218"/>
        <v>#REF!</v>
      </c>
      <c r="C669" s="47" t="e">
        <f t="shared" si="218"/>
        <v>#REF!</v>
      </c>
      <c r="D669" s="47" t="e">
        <f t="shared" si="218"/>
        <v>#REF!</v>
      </c>
      <c r="E669" s="47" t="e">
        <f t="shared" si="218"/>
        <v>#REF!</v>
      </c>
      <c r="F669" s="47" t="e">
        <f t="shared" si="218"/>
        <v>#REF!</v>
      </c>
      <c r="G669" s="47" t="e">
        <f t="shared" si="218"/>
        <v>#REF!</v>
      </c>
      <c r="H669" s="47" t="e">
        <f t="shared" si="218"/>
        <v>#REF!</v>
      </c>
    </row>
    <row r="670" spans="1:8" ht="12.75" hidden="1" x14ac:dyDescent="0.2">
      <c r="A670" s="47" t="e">
        <f t="shared" ref="A670:H670" si="219">#REF!</f>
        <v>#REF!</v>
      </c>
      <c r="B670" s="47" t="e">
        <f t="shared" si="219"/>
        <v>#REF!</v>
      </c>
      <c r="C670" s="47" t="e">
        <f t="shared" si="219"/>
        <v>#REF!</v>
      </c>
      <c r="D670" s="47" t="e">
        <f t="shared" si="219"/>
        <v>#REF!</v>
      </c>
      <c r="E670" s="47" t="e">
        <f t="shared" si="219"/>
        <v>#REF!</v>
      </c>
      <c r="F670" s="47" t="e">
        <f t="shared" si="219"/>
        <v>#REF!</v>
      </c>
      <c r="G670" s="47" t="e">
        <f t="shared" si="219"/>
        <v>#REF!</v>
      </c>
      <c r="H670" s="47" t="e">
        <f t="shared" si="219"/>
        <v>#REF!</v>
      </c>
    </row>
    <row r="671" spans="1:8" ht="12.75" hidden="1" x14ac:dyDescent="0.2">
      <c r="A671" s="47" t="e">
        <f t="shared" ref="A671:H671" si="220">#REF!</f>
        <v>#REF!</v>
      </c>
      <c r="B671" s="47" t="e">
        <f t="shared" si="220"/>
        <v>#REF!</v>
      </c>
      <c r="C671" s="47" t="e">
        <f t="shared" si="220"/>
        <v>#REF!</v>
      </c>
      <c r="D671" s="47" t="e">
        <f t="shared" si="220"/>
        <v>#REF!</v>
      </c>
      <c r="E671" s="47" t="e">
        <f t="shared" si="220"/>
        <v>#REF!</v>
      </c>
      <c r="F671" s="47" t="e">
        <f t="shared" si="220"/>
        <v>#REF!</v>
      </c>
      <c r="G671" s="47" t="e">
        <f t="shared" si="220"/>
        <v>#REF!</v>
      </c>
      <c r="H671" s="47" t="e">
        <f t="shared" si="220"/>
        <v>#REF!</v>
      </c>
    </row>
    <row r="672" spans="1:8" ht="12.75" hidden="1" x14ac:dyDescent="0.2">
      <c r="A672" s="47" t="e">
        <f t="shared" ref="A672:H672" si="221">#REF!</f>
        <v>#REF!</v>
      </c>
      <c r="B672" s="47" t="e">
        <f t="shared" si="221"/>
        <v>#REF!</v>
      </c>
      <c r="C672" s="47" t="e">
        <f t="shared" si="221"/>
        <v>#REF!</v>
      </c>
      <c r="D672" s="47" t="e">
        <f t="shared" si="221"/>
        <v>#REF!</v>
      </c>
      <c r="E672" s="47" t="e">
        <f t="shared" si="221"/>
        <v>#REF!</v>
      </c>
      <c r="F672" s="47" t="e">
        <f t="shared" si="221"/>
        <v>#REF!</v>
      </c>
      <c r="G672" s="47" t="e">
        <f t="shared" si="221"/>
        <v>#REF!</v>
      </c>
      <c r="H672" s="47" t="e">
        <f t="shared" si="221"/>
        <v>#REF!</v>
      </c>
    </row>
    <row r="673" spans="1:8" ht="12.75" hidden="1" x14ac:dyDescent="0.2">
      <c r="A673" s="47" t="e">
        <f t="shared" ref="A673:H673" si="222">#REF!</f>
        <v>#REF!</v>
      </c>
      <c r="B673" s="47" t="e">
        <f t="shared" si="222"/>
        <v>#REF!</v>
      </c>
      <c r="C673" s="47" t="e">
        <f t="shared" si="222"/>
        <v>#REF!</v>
      </c>
      <c r="D673" s="47" t="e">
        <f t="shared" si="222"/>
        <v>#REF!</v>
      </c>
      <c r="E673" s="47" t="e">
        <f t="shared" si="222"/>
        <v>#REF!</v>
      </c>
      <c r="F673" s="47" t="e">
        <f t="shared" si="222"/>
        <v>#REF!</v>
      </c>
      <c r="G673" s="47" t="e">
        <f t="shared" si="222"/>
        <v>#REF!</v>
      </c>
      <c r="H673" s="47" t="e">
        <f t="shared" si="222"/>
        <v>#REF!</v>
      </c>
    </row>
    <row r="674" spans="1:8" ht="12.75" hidden="1" x14ac:dyDescent="0.2">
      <c r="A674" s="47" t="e">
        <f t="shared" ref="A674:H674" si="223">#REF!</f>
        <v>#REF!</v>
      </c>
      <c r="B674" s="47" t="e">
        <f t="shared" si="223"/>
        <v>#REF!</v>
      </c>
      <c r="C674" s="47" t="e">
        <f t="shared" si="223"/>
        <v>#REF!</v>
      </c>
      <c r="D674" s="47" t="e">
        <f t="shared" si="223"/>
        <v>#REF!</v>
      </c>
      <c r="E674" s="47" t="e">
        <f t="shared" si="223"/>
        <v>#REF!</v>
      </c>
      <c r="F674" s="47" t="e">
        <f t="shared" si="223"/>
        <v>#REF!</v>
      </c>
      <c r="G674" s="47" t="e">
        <f t="shared" si="223"/>
        <v>#REF!</v>
      </c>
      <c r="H674" s="47" t="e">
        <f t="shared" si="223"/>
        <v>#REF!</v>
      </c>
    </row>
    <row r="675" spans="1:8" ht="12.75" hidden="1" x14ac:dyDescent="0.2">
      <c r="A675" s="47" t="e">
        <f t="shared" ref="A675:H675" si="224">#REF!</f>
        <v>#REF!</v>
      </c>
      <c r="B675" s="47" t="e">
        <f t="shared" si="224"/>
        <v>#REF!</v>
      </c>
      <c r="C675" s="47" t="e">
        <f t="shared" si="224"/>
        <v>#REF!</v>
      </c>
      <c r="D675" s="47" t="e">
        <f t="shared" si="224"/>
        <v>#REF!</v>
      </c>
      <c r="E675" s="47" t="e">
        <f t="shared" si="224"/>
        <v>#REF!</v>
      </c>
      <c r="F675" s="47" t="e">
        <f t="shared" si="224"/>
        <v>#REF!</v>
      </c>
      <c r="G675" s="47" t="e">
        <f t="shared" si="224"/>
        <v>#REF!</v>
      </c>
      <c r="H675" s="47" t="e">
        <f t="shared" si="224"/>
        <v>#REF!</v>
      </c>
    </row>
    <row r="676" spans="1:8" ht="12.75" hidden="1" x14ac:dyDescent="0.2">
      <c r="A676" s="47" t="e">
        <f t="shared" ref="A676:H676" si="225">#REF!</f>
        <v>#REF!</v>
      </c>
      <c r="B676" s="47" t="e">
        <f t="shared" si="225"/>
        <v>#REF!</v>
      </c>
      <c r="C676" s="47" t="e">
        <f t="shared" si="225"/>
        <v>#REF!</v>
      </c>
      <c r="D676" s="47" t="e">
        <f t="shared" si="225"/>
        <v>#REF!</v>
      </c>
      <c r="E676" s="47" t="e">
        <f t="shared" si="225"/>
        <v>#REF!</v>
      </c>
      <c r="F676" s="47" t="e">
        <f t="shared" si="225"/>
        <v>#REF!</v>
      </c>
      <c r="G676" s="47" t="e">
        <f t="shared" si="225"/>
        <v>#REF!</v>
      </c>
      <c r="H676" s="47" t="e">
        <f t="shared" si="225"/>
        <v>#REF!</v>
      </c>
    </row>
    <row r="677" spans="1:8" ht="12.75" hidden="1" x14ac:dyDescent="0.2">
      <c r="A677" s="47" t="e">
        <f t="shared" ref="A677:H677" si="226">#REF!</f>
        <v>#REF!</v>
      </c>
      <c r="B677" s="47" t="e">
        <f t="shared" si="226"/>
        <v>#REF!</v>
      </c>
      <c r="C677" s="47" t="e">
        <f t="shared" si="226"/>
        <v>#REF!</v>
      </c>
      <c r="D677" s="47" t="e">
        <f t="shared" si="226"/>
        <v>#REF!</v>
      </c>
      <c r="E677" s="47" t="e">
        <f t="shared" si="226"/>
        <v>#REF!</v>
      </c>
      <c r="F677" s="47" t="e">
        <f t="shared" si="226"/>
        <v>#REF!</v>
      </c>
      <c r="G677" s="47" t="e">
        <f t="shared" si="226"/>
        <v>#REF!</v>
      </c>
      <c r="H677" s="47" t="e">
        <f t="shared" si="226"/>
        <v>#REF!</v>
      </c>
    </row>
    <row r="678" spans="1:8" ht="12.75" hidden="1" x14ac:dyDescent="0.2">
      <c r="A678" s="47" t="e">
        <f t="shared" ref="A678:H678" si="227">#REF!</f>
        <v>#REF!</v>
      </c>
      <c r="B678" s="47" t="e">
        <f t="shared" si="227"/>
        <v>#REF!</v>
      </c>
      <c r="C678" s="47" t="e">
        <f t="shared" si="227"/>
        <v>#REF!</v>
      </c>
      <c r="D678" s="47" t="e">
        <f t="shared" si="227"/>
        <v>#REF!</v>
      </c>
      <c r="E678" s="47" t="e">
        <f t="shared" si="227"/>
        <v>#REF!</v>
      </c>
      <c r="F678" s="47" t="e">
        <f t="shared" si="227"/>
        <v>#REF!</v>
      </c>
      <c r="G678" s="47" t="e">
        <f t="shared" si="227"/>
        <v>#REF!</v>
      </c>
      <c r="H678" s="47" t="e">
        <f t="shared" si="227"/>
        <v>#REF!</v>
      </c>
    </row>
    <row r="679" spans="1:8" ht="12.75" hidden="1" x14ac:dyDescent="0.2">
      <c r="A679" s="47" t="e">
        <f t="shared" ref="A679:H679" si="228">#REF!</f>
        <v>#REF!</v>
      </c>
      <c r="B679" s="47" t="e">
        <f t="shared" si="228"/>
        <v>#REF!</v>
      </c>
      <c r="C679" s="47" t="e">
        <f t="shared" si="228"/>
        <v>#REF!</v>
      </c>
      <c r="D679" s="47" t="e">
        <f t="shared" si="228"/>
        <v>#REF!</v>
      </c>
      <c r="E679" s="47" t="e">
        <f t="shared" si="228"/>
        <v>#REF!</v>
      </c>
      <c r="F679" s="47" t="e">
        <f t="shared" si="228"/>
        <v>#REF!</v>
      </c>
      <c r="G679" s="47" t="e">
        <f t="shared" si="228"/>
        <v>#REF!</v>
      </c>
      <c r="H679" s="47" t="e">
        <f t="shared" si="228"/>
        <v>#REF!</v>
      </c>
    </row>
    <row r="680" spans="1:8" ht="12.75" hidden="1" x14ac:dyDescent="0.2">
      <c r="A680" s="47" t="e">
        <f t="shared" ref="A680:H680" si="229">#REF!</f>
        <v>#REF!</v>
      </c>
      <c r="B680" s="47" t="e">
        <f t="shared" si="229"/>
        <v>#REF!</v>
      </c>
      <c r="C680" s="47" t="e">
        <f t="shared" si="229"/>
        <v>#REF!</v>
      </c>
      <c r="D680" s="47" t="e">
        <f t="shared" si="229"/>
        <v>#REF!</v>
      </c>
      <c r="E680" s="47" t="e">
        <f t="shared" si="229"/>
        <v>#REF!</v>
      </c>
      <c r="F680" s="47" t="e">
        <f t="shared" si="229"/>
        <v>#REF!</v>
      </c>
      <c r="G680" s="47" t="e">
        <f t="shared" si="229"/>
        <v>#REF!</v>
      </c>
      <c r="H680" s="47" t="e">
        <f t="shared" si="229"/>
        <v>#REF!</v>
      </c>
    </row>
    <row r="681" spans="1:8" ht="12.75" hidden="1" x14ac:dyDescent="0.2">
      <c r="A681" s="47" t="e">
        <f t="shared" ref="A681:H681" si="230">#REF!</f>
        <v>#REF!</v>
      </c>
      <c r="B681" s="47" t="e">
        <f t="shared" si="230"/>
        <v>#REF!</v>
      </c>
      <c r="C681" s="47" t="e">
        <f t="shared" si="230"/>
        <v>#REF!</v>
      </c>
      <c r="D681" s="47" t="e">
        <f t="shared" si="230"/>
        <v>#REF!</v>
      </c>
      <c r="E681" s="47" t="e">
        <f t="shared" si="230"/>
        <v>#REF!</v>
      </c>
      <c r="F681" s="47" t="e">
        <f t="shared" si="230"/>
        <v>#REF!</v>
      </c>
      <c r="G681" s="47" t="e">
        <f t="shared" si="230"/>
        <v>#REF!</v>
      </c>
      <c r="H681" s="47" t="e">
        <f t="shared" si="230"/>
        <v>#REF!</v>
      </c>
    </row>
    <row r="682" spans="1:8" ht="12.75" hidden="1" x14ac:dyDescent="0.2">
      <c r="A682" s="47" t="e">
        <f t="shared" ref="A682:H682" si="231">#REF!</f>
        <v>#REF!</v>
      </c>
      <c r="B682" s="47" t="e">
        <f t="shared" si="231"/>
        <v>#REF!</v>
      </c>
      <c r="C682" s="47" t="e">
        <f t="shared" si="231"/>
        <v>#REF!</v>
      </c>
      <c r="D682" s="47" t="e">
        <f t="shared" si="231"/>
        <v>#REF!</v>
      </c>
      <c r="E682" s="47" t="e">
        <f t="shared" si="231"/>
        <v>#REF!</v>
      </c>
      <c r="F682" s="47" t="e">
        <f t="shared" si="231"/>
        <v>#REF!</v>
      </c>
      <c r="G682" s="47" t="e">
        <f t="shared" si="231"/>
        <v>#REF!</v>
      </c>
      <c r="H682" s="47" t="e">
        <f t="shared" si="231"/>
        <v>#REF!</v>
      </c>
    </row>
    <row r="683" spans="1:8" ht="12.75" hidden="1" x14ac:dyDescent="0.2">
      <c r="A683" s="47" t="e">
        <f t="shared" ref="A683:H683" si="232">#REF!</f>
        <v>#REF!</v>
      </c>
      <c r="B683" s="47" t="e">
        <f t="shared" si="232"/>
        <v>#REF!</v>
      </c>
      <c r="C683" s="47" t="e">
        <f t="shared" si="232"/>
        <v>#REF!</v>
      </c>
      <c r="D683" s="47" t="e">
        <f t="shared" si="232"/>
        <v>#REF!</v>
      </c>
      <c r="E683" s="47" t="e">
        <f t="shared" si="232"/>
        <v>#REF!</v>
      </c>
      <c r="F683" s="47" t="e">
        <f t="shared" si="232"/>
        <v>#REF!</v>
      </c>
      <c r="G683" s="47" t="e">
        <f t="shared" si="232"/>
        <v>#REF!</v>
      </c>
      <c r="H683" s="47" t="e">
        <f t="shared" si="232"/>
        <v>#REF!</v>
      </c>
    </row>
    <row r="684" spans="1:8" ht="12.75" hidden="1" x14ac:dyDescent="0.2">
      <c r="A684" s="47" t="e">
        <f t="shared" ref="A684:H684" si="233">#REF!</f>
        <v>#REF!</v>
      </c>
      <c r="B684" s="47" t="e">
        <f t="shared" si="233"/>
        <v>#REF!</v>
      </c>
      <c r="C684" s="47" t="e">
        <f t="shared" si="233"/>
        <v>#REF!</v>
      </c>
      <c r="D684" s="47" t="e">
        <f t="shared" si="233"/>
        <v>#REF!</v>
      </c>
      <c r="E684" s="47" t="e">
        <f t="shared" si="233"/>
        <v>#REF!</v>
      </c>
      <c r="F684" s="47" t="e">
        <f t="shared" si="233"/>
        <v>#REF!</v>
      </c>
      <c r="G684" s="47" t="e">
        <f t="shared" si="233"/>
        <v>#REF!</v>
      </c>
      <c r="H684" s="47" t="e">
        <f t="shared" si="233"/>
        <v>#REF!</v>
      </c>
    </row>
    <row r="685" spans="1:8" ht="12.75" hidden="1" x14ac:dyDescent="0.2">
      <c r="A685" s="47" t="e">
        <f t="shared" ref="A685:H685" si="234">#REF!</f>
        <v>#REF!</v>
      </c>
      <c r="B685" s="47" t="e">
        <f t="shared" si="234"/>
        <v>#REF!</v>
      </c>
      <c r="C685" s="47" t="e">
        <f t="shared" si="234"/>
        <v>#REF!</v>
      </c>
      <c r="D685" s="47" t="e">
        <f t="shared" si="234"/>
        <v>#REF!</v>
      </c>
      <c r="E685" s="47" t="e">
        <f t="shared" si="234"/>
        <v>#REF!</v>
      </c>
      <c r="F685" s="47" t="e">
        <f t="shared" si="234"/>
        <v>#REF!</v>
      </c>
      <c r="G685" s="47" t="e">
        <f t="shared" si="234"/>
        <v>#REF!</v>
      </c>
      <c r="H685" s="47" t="e">
        <f t="shared" si="234"/>
        <v>#REF!</v>
      </c>
    </row>
    <row r="686" spans="1:8" ht="12.75" hidden="1" x14ac:dyDescent="0.2">
      <c r="A686" s="47" t="e">
        <f t="shared" ref="A686:H686" si="235">#REF!</f>
        <v>#REF!</v>
      </c>
      <c r="B686" s="47" t="e">
        <f t="shared" si="235"/>
        <v>#REF!</v>
      </c>
      <c r="C686" s="47" t="e">
        <f t="shared" si="235"/>
        <v>#REF!</v>
      </c>
      <c r="D686" s="47" t="e">
        <f t="shared" si="235"/>
        <v>#REF!</v>
      </c>
      <c r="E686" s="47" t="e">
        <f t="shared" si="235"/>
        <v>#REF!</v>
      </c>
      <c r="F686" s="47" t="e">
        <f t="shared" si="235"/>
        <v>#REF!</v>
      </c>
      <c r="G686" s="47" t="e">
        <f t="shared" si="235"/>
        <v>#REF!</v>
      </c>
      <c r="H686" s="47" t="e">
        <f t="shared" si="235"/>
        <v>#REF!</v>
      </c>
    </row>
    <row r="687" spans="1:8" ht="12.75" hidden="1" x14ac:dyDescent="0.2">
      <c r="A687" s="47" t="e">
        <f t="shared" ref="A687:H687" si="236">#REF!</f>
        <v>#REF!</v>
      </c>
      <c r="B687" s="47" t="e">
        <f t="shared" si="236"/>
        <v>#REF!</v>
      </c>
      <c r="C687" s="47" t="e">
        <f t="shared" si="236"/>
        <v>#REF!</v>
      </c>
      <c r="D687" s="47" t="e">
        <f t="shared" si="236"/>
        <v>#REF!</v>
      </c>
      <c r="E687" s="47" t="e">
        <f t="shared" si="236"/>
        <v>#REF!</v>
      </c>
      <c r="F687" s="47" t="e">
        <f t="shared" si="236"/>
        <v>#REF!</v>
      </c>
      <c r="G687" s="47" t="e">
        <f t="shared" si="236"/>
        <v>#REF!</v>
      </c>
      <c r="H687" s="47" t="e">
        <f t="shared" si="236"/>
        <v>#REF!</v>
      </c>
    </row>
    <row r="688" spans="1:8" ht="12.75" hidden="1" x14ac:dyDescent="0.2">
      <c r="A688" s="47" t="e">
        <f t="shared" ref="A688:H688" si="237">#REF!</f>
        <v>#REF!</v>
      </c>
      <c r="B688" s="47" t="e">
        <f t="shared" si="237"/>
        <v>#REF!</v>
      </c>
      <c r="C688" s="47" t="e">
        <f t="shared" si="237"/>
        <v>#REF!</v>
      </c>
      <c r="D688" s="47" t="e">
        <f t="shared" si="237"/>
        <v>#REF!</v>
      </c>
      <c r="E688" s="47" t="e">
        <f t="shared" si="237"/>
        <v>#REF!</v>
      </c>
      <c r="F688" s="47" t="e">
        <f t="shared" si="237"/>
        <v>#REF!</v>
      </c>
      <c r="G688" s="47" t="e">
        <f t="shared" si="237"/>
        <v>#REF!</v>
      </c>
      <c r="H688" s="47" t="e">
        <f t="shared" si="237"/>
        <v>#REF!</v>
      </c>
    </row>
    <row r="689" spans="1:8" ht="12.75" hidden="1" x14ac:dyDescent="0.2">
      <c r="A689" s="47" t="e">
        <f t="shared" ref="A689:H689" si="238">#REF!</f>
        <v>#REF!</v>
      </c>
      <c r="B689" s="47" t="e">
        <f t="shared" si="238"/>
        <v>#REF!</v>
      </c>
      <c r="C689" s="47" t="e">
        <f t="shared" si="238"/>
        <v>#REF!</v>
      </c>
      <c r="D689" s="47" t="e">
        <f t="shared" si="238"/>
        <v>#REF!</v>
      </c>
      <c r="E689" s="47" t="e">
        <f t="shared" si="238"/>
        <v>#REF!</v>
      </c>
      <c r="F689" s="47" t="e">
        <f t="shared" si="238"/>
        <v>#REF!</v>
      </c>
      <c r="G689" s="47" t="e">
        <f t="shared" si="238"/>
        <v>#REF!</v>
      </c>
      <c r="H689" s="47" t="e">
        <f t="shared" si="238"/>
        <v>#REF!</v>
      </c>
    </row>
    <row r="690" spans="1:8" ht="12.75" hidden="1" x14ac:dyDescent="0.2">
      <c r="A690" s="47" t="e">
        <f t="shared" ref="A690:H690" si="239">#REF!</f>
        <v>#REF!</v>
      </c>
      <c r="B690" s="47" t="e">
        <f t="shared" si="239"/>
        <v>#REF!</v>
      </c>
      <c r="C690" s="47" t="e">
        <f t="shared" si="239"/>
        <v>#REF!</v>
      </c>
      <c r="D690" s="47" t="e">
        <f t="shared" si="239"/>
        <v>#REF!</v>
      </c>
      <c r="E690" s="47" t="e">
        <f t="shared" si="239"/>
        <v>#REF!</v>
      </c>
      <c r="F690" s="47" t="e">
        <f t="shared" si="239"/>
        <v>#REF!</v>
      </c>
      <c r="G690" s="47" t="e">
        <f t="shared" si="239"/>
        <v>#REF!</v>
      </c>
      <c r="H690" s="47" t="e">
        <f t="shared" si="239"/>
        <v>#REF!</v>
      </c>
    </row>
    <row r="691" spans="1:8" ht="12.75" hidden="1" x14ac:dyDescent="0.2">
      <c r="A691" s="47" t="e">
        <f t="shared" ref="A691:H691" si="240">#REF!</f>
        <v>#REF!</v>
      </c>
      <c r="B691" s="47" t="e">
        <f t="shared" si="240"/>
        <v>#REF!</v>
      </c>
      <c r="C691" s="47" t="e">
        <f t="shared" si="240"/>
        <v>#REF!</v>
      </c>
      <c r="D691" s="47" t="e">
        <f t="shared" si="240"/>
        <v>#REF!</v>
      </c>
      <c r="E691" s="47" t="e">
        <f t="shared" si="240"/>
        <v>#REF!</v>
      </c>
      <c r="F691" s="47" t="e">
        <f t="shared" si="240"/>
        <v>#REF!</v>
      </c>
      <c r="G691" s="47" t="e">
        <f t="shared" si="240"/>
        <v>#REF!</v>
      </c>
      <c r="H691" s="47" t="e">
        <f t="shared" si="240"/>
        <v>#REF!</v>
      </c>
    </row>
    <row r="692" spans="1:8" ht="12.75" hidden="1" x14ac:dyDescent="0.2">
      <c r="A692" s="47" t="e">
        <f t="shared" ref="A692:H692" si="241">#REF!</f>
        <v>#REF!</v>
      </c>
      <c r="B692" s="47" t="e">
        <f t="shared" si="241"/>
        <v>#REF!</v>
      </c>
      <c r="C692" s="47" t="e">
        <f t="shared" si="241"/>
        <v>#REF!</v>
      </c>
      <c r="D692" s="47" t="e">
        <f t="shared" si="241"/>
        <v>#REF!</v>
      </c>
      <c r="E692" s="47" t="e">
        <f t="shared" si="241"/>
        <v>#REF!</v>
      </c>
      <c r="F692" s="47" t="e">
        <f t="shared" si="241"/>
        <v>#REF!</v>
      </c>
      <c r="G692" s="47" t="e">
        <f t="shared" si="241"/>
        <v>#REF!</v>
      </c>
      <c r="H692" s="47" t="e">
        <f t="shared" si="241"/>
        <v>#REF!</v>
      </c>
    </row>
    <row r="693" spans="1:8" ht="12.75" hidden="1" x14ac:dyDescent="0.2">
      <c r="A693" s="47" t="e">
        <f t="shared" ref="A693:H693" si="242">#REF!</f>
        <v>#REF!</v>
      </c>
      <c r="B693" s="47" t="e">
        <f t="shared" si="242"/>
        <v>#REF!</v>
      </c>
      <c r="C693" s="47" t="e">
        <f t="shared" si="242"/>
        <v>#REF!</v>
      </c>
      <c r="D693" s="47" t="e">
        <f t="shared" si="242"/>
        <v>#REF!</v>
      </c>
      <c r="E693" s="47" t="e">
        <f t="shared" si="242"/>
        <v>#REF!</v>
      </c>
      <c r="F693" s="47" t="e">
        <f t="shared" si="242"/>
        <v>#REF!</v>
      </c>
      <c r="G693" s="47" t="e">
        <f t="shared" si="242"/>
        <v>#REF!</v>
      </c>
      <c r="H693" s="47" t="e">
        <f t="shared" si="242"/>
        <v>#REF!</v>
      </c>
    </row>
    <row r="694" spans="1:8" ht="12.75" hidden="1" x14ac:dyDescent="0.2">
      <c r="A694" s="47" t="e">
        <f t="shared" ref="A694:H694" si="243">#REF!</f>
        <v>#REF!</v>
      </c>
      <c r="B694" s="47" t="e">
        <f t="shared" si="243"/>
        <v>#REF!</v>
      </c>
      <c r="C694" s="47" t="e">
        <f t="shared" si="243"/>
        <v>#REF!</v>
      </c>
      <c r="D694" s="47" t="e">
        <f t="shared" si="243"/>
        <v>#REF!</v>
      </c>
      <c r="E694" s="47" t="e">
        <f t="shared" si="243"/>
        <v>#REF!</v>
      </c>
      <c r="F694" s="47" t="e">
        <f t="shared" si="243"/>
        <v>#REF!</v>
      </c>
      <c r="G694" s="47" t="e">
        <f t="shared" si="243"/>
        <v>#REF!</v>
      </c>
      <c r="H694" s="47" t="e">
        <f t="shared" si="243"/>
        <v>#REF!</v>
      </c>
    </row>
    <row r="695" spans="1:8" ht="12.75" hidden="1" x14ac:dyDescent="0.2">
      <c r="A695" s="47" t="e">
        <f t="shared" ref="A695:H695" si="244">#REF!</f>
        <v>#REF!</v>
      </c>
      <c r="B695" s="47" t="e">
        <f t="shared" si="244"/>
        <v>#REF!</v>
      </c>
      <c r="C695" s="47" t="e">
        <f t="shared" si="244"/>
        <v>#REF!</v>
      </c>
      <c r="D695" s="47" t="e">
        <f t="shared" si="244"/>
        <v>#REF!</v>
      </c>
      <c r="E695" s="47" t="e">
        <f t="shared" si="244"/>
        <v>#REF!</v>
      </c>
      <c r="F695" s="47" t="e">
        <f t="shared" si="244"/>
        <v>#REF!</v>
      </c>
      <c r="G695" s="47" t="e">
        <f t="shared" si="244"/>
        <v>#REF!</v>
      </c>
      <c r="H695" s="47" t="e">
        <f t="shared" si="244"/>
        <v>#REF!</v>
      </c>
    </row>
    <row r="696" spans="1:8" ht="12.75" hidden="1" x14ac:dyDescent="0.2">
      <c r="A696" s="47" t="e">
        <f t="shared" ref="A696:H696" si="245">#REF!</f>
        <v>#REF!</v>
      </c>
      <c r="B696" s="47" t="e">
        <f t="shared" si="245"/>
        <v>#REF!</v>
      </c>
      <c r="C696" s="47" t="e">
        <f t="shared" si="245"/>
        <v>#REF!</v>
      </c>
      <c r="D696" s="47" t="e">
        <f t="shared" si="245"/>
        <v>#REF!</v>
      </c>
      <c r="E696" s="47" t="e">
        <f t="shared" si="245"/>
        <v>#REF!</v>
      </c>
      <c r="F696" s="47" t="e">
        <f t="shared" si="245"/>
        <v>#REF!</v>
      </c>
      <c r="G696" s="47" t="e">
        <f t="shared" si="245"/>
        <v>#REF!</v>
      </c>
      <c r="H696" s="47" t="e">
        <f t="shared" si="245"/>
        <v>#REF!</v>
      </c>
    </row>
    <row r="697" spans="1:8" ht="12.75" hidden="1" x14ac:dyDescent="0.2">
      <c r="A697" s="47" t="e">
        <f t="shared" ref="A697:H697" si="246">#REF!</f>
        <v>#REF!</v>
      </c>
      <c r="B697" s="47" t="e">
        <f t="shared" si="246"/>
        <v>#REF!</v>
      </c>
      <c r="C697" s="47" t="e">
        <f t="shared" si="246"/>
        <v>#REF!</v>
      </c>
      <c r="D697" s="47" t="e">
        <f t="shared" si="246"/>
        <v>#REF!</v>
      </c>
      <c r="E697" s="47" t="e">
        <f t="shared" si="246"/>
        <v>#REF!</v>
      </c>
      <c r="F697" s="47" t="e">
        <f t="shared" si="246"/>
        <v>#REF!</v>
      </c>
      <c r="G697" s="47" t="e">
        <f t="shared" si="246"/>
        <v>#REF!</v>
      </c>
      <c r="H697" s="47" t="e">
        <f t="shared" si="246"/>
        <v>#REF!</v>
      </c>
    </row>
    <row r="698" spans="1:8" ht="12.75" hidden="1" x14ac:dyDescent="0.2">
      <c r="A698" s="47" t="e">
        <f t="shared" ref="A698:H698" si="247">#REF!</f>
        <v>#REF!</v>
      </c>
      <c r="B698" s="47" t="e">
        <f t="shared" si="247"/>
        <v>#REF!</v>
      </c>
      <c r="C698" s="47" t="e">
        <f t="shared" si="247"/>
        <v>#REF!</v>
      </c>
      <c r="D698" s="47" t="e">
        <f t="shared" si="247"/>
        <v>#REF!</v>
      </c>
      <c r="E698" s="47" t="e">
        <f t="shared" si="247"/>
        <v>#REF!</v>
      </c>
      <c r="F698" s="47" t="e">
        <f t="shared" si="247"/>
        <v>#REF!</v>
      </c>
      <c r="G698" s="47" t="e">
        <f t="shared" si="247"/>
        <v>#REF!</v>
      </c>
      <c r="H698" s="47" t="e">
        <f t="shared" si="247"/>
        <v>#REF!</v>
      </c>
    </row>
    <row r="699" spans="1:8" ht="12.75" hidden="1" x14ac:dyDescent="0.2">
      <c r="A699" s="47" t="e">
        <f t="shared" ref="A699:H699" si="248">#REF!</f>
        <v>#REF!</v>
      </c>
      <c r="B699" s="47" t="e">
        <f t="shared" si="248"/>
        <v>#REF!</v>
      </c>
      <c r="C699" s="47" t="e">
        <f t="shared" si="248"/>
        <v>#REF!</v>
      </c>
      <c r="D699" s="47" t="e">
        <f t="shared" si="248"/>
        <v>#REF!</v>
      </c>
      <c r="E699" s="47" t="e">
        <f t="shared" si="248"/>
        <v>#REF!</v>
      </c>
      <c r="F699" s="47" t="e">
        <f t="shared" si="248"/>
        <v>#REF!</v>
      </c>
      <c r="G699" s="47" t="e">
        <f t="shared" si="248"/>
        <v>#REF!</v>
      </c>
      <c r="H699" s="47" t="e">
        <f t="shared" si="248"/>
        <v>#REF!</v>
      </c>
    </row>
    <row r="700" spans="1:8" ht="12.75" hidden="1" x14ac:dyDescent="0.2">
      <c r="A700" s="47" t="e">
        <f t="shared" ref="A700:H700" si="249">#REF!</f>
        <v>#REF!</v>
      </c>
      <c r="B700" s="47" t="e">
        <f t="shared" si="249"/>
        <v>#REF!</v>
      </c>
      <c r="C700" s="47" t="e">
        <f t="shared" si="249"/>
        <v>#REF!</v>
      </c>
      <c r="D700" s="47" t="e">
        <f t="shared" si="249"/>
        <v>#REF!</v>
      </c>
      <c r="E700" s="47" t="e">
        <f t="shared" si="249"/>
        <v>#REF!</v>
      </c>
      <c r="F700" s="47" t="e">
        <f t="shared" si="249"/>
        <v>#REF!</v>
      </c>
      <c r="G700" s="47" t="e">
        <f t="shared" si="249"/>
        <v>#REF!</v>
      </c>
      <c r="H700" s="47" t="e">
        <f t="shared" si="249"/>
        <v>#REF!</v>
      </c>
    </row>
    <row r="701" spans="1:8" ht="12.75" hidden="1" x14ac:dyDescent="0.2">
      <c r="A701" s="47" t="e">
        <f t="shared" ref="A701:H701" si="250">#REF!</f>
        <v>#REF!</v>
      </c>
      <c r="B701" s="47" t="e">
        <f t="shared" si="250"/>
        <v>#REF!</v>
      </c>
      <c r="C701" s="47" t="e">
        <f t="shared" si="250"/>
        <v>#REF!</v>
      </c>
      <c r="D701" s="47" t="e">
        <f t="shared" si="250"/>
        <v>#REF!</v>
      </c>
      <c r="E701" s="47" t="e">
        <f t="shared" si="250"/>
        <v>#REF!</v>
      </c>
      <c r="F701" s="47" t="e">
        <f t="shared" si="250"/>
        <v>#REF!</v>
      </c>
      <c r="G701" s="47" t="e">
        <f t="shared" si="250"/>
        <v>#REF!</v>
      </c>
      <c r="H701" s="47" t="e">
        <f t="shared" si="250"/>
        <v>#REF!</v>
      </c>
    </row>
    <row r="702" spans="1:8" ht="12.75" hidden="1" x14ac:dyDescent="0.2">
      <c r="A702" s="47" t="e">
        <f t="shared" ref="A702:H702" si="251">#REF!</f>
        <v>#REF!</v>
      </c>
      <c r="B702" s="47" t="e">
        <f t="shared" si="251"/>
        <v>#REF!</v>
      </c>
      <c r="C702" s="47" t="e">
        <f t="shared" si="251"/>
        <v>#REF!</v>
      </c>
      <c r="D702" s="47" t="e">
        <f t="shared" si="251"/>
        <v>#REF!</v>
      </c>
      <c r="E702" s="47" t="e">
        <f t="shared" si="251"/>
        <v>#REF!</v>
      </c>
      <c r="F702" s="47" t="e">
        <f t="shared" si="251"/>
        <v>#REF!</v>
      </c>
      <c r="G702" s="47" t="e">
        <f t="shared" si="251"/>
        <v>#REF!</v>
      </c>
      <c r="H702" s="47" t="e">
        <f t="shared" si="251"/>
        <v>#REF!</v>
      </c>
    </row>
    <row r="703" spans="1:8" ht="12.75" hidden="1" x14ac:dyDescent="0.2">
      <c r="A703" s="47" t="e">
        <f t="shared" ref="A703:H703" si="252">#REF!</f>
        <v>#REF!</v>
      </c>
      <c r="B703" s="47" t="e">
        <f t="shared" si="252"/>
        <v>#REF!</v>
      </c>
      <c r="C703" s="47" t="e">
        <f t="shared" si="252"/>
        <v>#REF!</v>
      </c>
      <c r="D703" s="47" t="e">
        <f t="shared" si="252"/>
        <v>#REF!</v>
      </c>
      <c r="E703" s="47" t="e">
        <f t="shared" si="252"/>
        <v>#REF!</v>
      </c>
      <c r="F703" s="47" t="e">
        <f t="shared" si="252"/>
        <v>#REF!</v>
      </c>
      <c r="G703" s="47" t="e">
        <f t="shared" si="252"/>
        <v>#REF!</v>
      </c>
      <c r="H703" s="47" t="e">
        <f t="shared" si="252"/>
        <v>#REF!</v>
      </c>
    </row>
    <row r="704" spans="1:8" ht="12.75" hidden="1" x14ac:dyDescent="0.2">
      <c r="A704" s="47" t="e">
        <f t="shared" ref="A704:H704" si="253">#REF!</f>
        <v>#REF!</v>
      </c>
      <c r="B704" s="47" t="e">
        <f t="shared" si="253"/>
        <v>#REF!</v>
      </c>
      <c r="C704" s="47" t="e">
        <f t="shared" si="253"/>
        <v>#REF!</v>
      </c>
      <c r="D704" s="47" t="e">
        <f t="shared" si="253"/>
        <v>#REF!</v>
      </c>
      <c r="E704" s="47" t="e">
        <f t="shared" si="253"/>
        <v>#REF!</v>
      </c>
      <c r="F704" s="47" t="e">
        <f t="shared" si="253"/>
        <v>#REF!</v>
      </c>
      <c r="G704" s="47" t="e">
        <f t="shared" si="253"/>
        <v>#REF!</v>
      </c>
      <c r="H704" s="47" t="e">
        <f t="shared" si="253"/>
        <v>#REF!</v>
      </c>
    </row>
    <row r="705" spans="1:8" ht="12.75" hidden="1" x14ac:dyDescent="0.2">
      <c r="A705" s="47" t="e">
        <f t="shared" ref="A705:H705" si="254">#REF!</f>
        <v>#REF!</v>
      </c>
      <c r="B705" s="47" t="e">
        <f t="shared" si="254"/>
        <v>#REF!</v>
      </c>
      <c r="C705" s="47" t="e">
        <f t="shared" si="254"/>
        <v>#REF!</v>
      </c>
      <c r="D705" s="47" t="e">
        <f t="shared" si="254"/>
        <v>#REF!</v>
      </c>
      <c r="E705" s="47" t="e">
        <f t="shared" si="254"/>
        <v>#REF!</v>
      </c>
      <c r="F705" s="47" t="e">
        <f t="shared" si="254"/>
        <v>#REF!</v>
      </c>
      <c r="G705" s="47" t="e">
        <f t="shared" si="254"/>
        <v>#REF!</v>
      </c>
      <c r="H705" s="47" t="e">
        <f t="shared" si="254"/>
        <v>#REF!</v>
      </c>
    </row>
    <row r="706" spans="1:8" ht="12.75" hidden="1" x14ac:dyDescent="0.2">
      <c r="A706" s="47" t="e">
        <f t="shared" ref="A706:H706" si="255">#REF!</f>
        <v>#REF!</v>
      </c>
      <c r="B706" s="47" t="e">
        <f t="shared" si="255"/>
        <v>#REF!</v>
      </c>
      <c r="C706" s="47" t="e">
        <f t="shared" si="255"/>
        <v>#REF!</v>
      </c>
      <c r="D706" s="47" t="e">
        <f t="shared" si="255"/>
        <v>#REF!</v>
      </c>
      <c r="E706" s="47" t="e">
        <f t="shared" si="255"/>
        <v>#REF!</v>
      </c>
      <c r="F706" s="47" t="e">
        <f t="shared" si="255"/>
        <v>#REF!</v>
      </c>
      <c r="G706" s="47" t="e">
        <f t="shared" si="255"/>
        <v>#REF!</v>
      </c>
      <c r="H706" s="47" t="e">
        <f t="shared" si="255"/>
        <v>#REF!</v>
      </c>
    </row>
    <row r="707" spans="1:8" ht="12.75" hidden="1" x14ac:dyDescent="0.2">
      <c r="A707" s="47" t="e">
        <f t="shared" ref="A707:H707" si="256">#REF!</f>
        <v>#REF!</v>
      </c>
      <c r="B707" s="47" t="e">
        <f t="shared" si="256"/>
        <v>#REF!</v>
      </c>
      <c r="C707" s="47" t="e">
        <f t="shared" si="256"/>
        <v>#REF!</v>
      </c>
      <c r="D707" s="47" t="e">
        <f t="shared" si="256"/>
        <v>#REF!</v>
      </c>
      <c r="E707" s="47" t="e">
        <f t="shared" si="256"/>
        <v>#REF!</v>
      </c>
      <c r="F707" s="47" t="e">
        <f t="shared" si="256"/>
        <v>#REF!</v>
      </c>
      <c r="G707" s="47" t="e">
        <f t="shared" si="256"/>
        <v>#REF!</v>
      </c>
      <c r="H707" s="47" t="e">
        <f t="shared" si="256"/>
        <v>#REF!</v>
      </c>
    </row>
    <row r="708" spans="1:8" ht="12.75" hidden="1" x14ac:dyDescent="0.2">
      <c r="A708" s="47" t="e">
        <f t="shared" ref="A708:H708" si="257">#REF!</f>
        <v>#REF!</v>
      </c>
      <c r="B708" s="47" t="e">
        <f t="shared" si="257"/>
        <v>#REF!</v>
      </c>
      <c r="C708" s="47" t="e">
        <f t="shared" si="257"/>
        <v>#REF!</v>
      </c>
      <c r="D708" s="47" t="e">
        <f t="shared" si="257"/>
        <v>#REF!</v>
      </c>
      <c r="E708" s="47" t="e">
        <f t="shared" si="257"/>
        <v>#REF!</v>
      </c>
      <c r="F708" s="47" t="e">
        <f t="shared" si="257"/>
        <v>#REF!</v>
      </c>
      <c r="G708" s="47" t="e">
        <f t="shared" si="257"/>
        <v>#REF!</v>
      </c>
      <c r="H708" s="47" t="e">
        <f t="shared" si="257"/>
        <v>#REF!</v>
      </c>
    </row>
    <row r="709" spans="1:8" ht="12.75" hidden="1" x14ac:dyDescent="0.2">
      <c r="A709" s="47" t="e">
        <f t="shared" ref="A709:H709" si="258">#REF!</f>
        <v>#REF!</v>
      </c>
      <c r="B709" s="47" t="e">
        <f t="shared" si="258"/>
        <v>#REF!</v>
      </c>
      <c r="C709" s="47" t="e">
        <f t="shared" si="258"/>
        <v>#REF!</v>
      </c>
      <c r="D709" s="47" t="e">
        <f t="shared" si="258"/>
        <v>#REF!</v>
      </c>
      <c r="E709" s="47" t="e">
        <f t="shared" si="258"/>
        <v>#REF!</v>
      </c>
      <c r="F709" s="47" t="e">
        <f t="shared" si="258"/>
        <v>#REF!</v>
      </c>
      <c r="G709" s="47" t="e">
        <f t="shared" si="258"/>
        <v>#REF!</v>
      </c>
      <c r="H709" s="47" t="e">
        <f t="shared" si="258"/>
        <v>#REF!</v>
      </c>
    </row>
    <row r="710" spans="1:8" ht="12.75" hidden="1" x14ac:dyDescent="0.2">
      <c r="A710" s="47" t="e">
        <f t="shared" ref="A710:H710" si="259">#REF!</f>
        <v>#REF!</v>
      </c>
      <c r="B710" s="47" t="e">
        <f t="shared" si="259"/>
        <v>#REF!</v>
      </c>
      <c r="C710" s="47" t="e">
        <f t="shared" si="259"/>
        <v>#REF!</v>
      </c>
      <c r="D710" s="47" t="e">
        <f t="shared" si="259"/>
        <v>#REF!</v>
      </c>
      <c r="E710" s="47" t="e">
        <f t="shared" si="259"/>
        <v>#REF!</v>
      </c>
      <c r="F710" s="47" t="e">
        <f t="shared" si="259"/>
        <v>#REF!</v>
      </c>
      <c r="G710" s="47" t="e">
        <f t="shared" si="259"/>
        <v>#REF!</v>
      </c>
      <c r="H710" s="47" t="e">
        <f t="shared" si="259"/>
        <v>#REF!</v>
      </c>
    </row>
    <row r="711" spans="1:8" ht="12.75" hidden="1" x14ac:dyDescent="0.2">
      <c r="A711" s="47" t="e">
        <f t="shared" ref="A711:H711" si="260">#REF!</f>
        <v>#REF!</v>
      </c>
      <c r="B711" s="47" t="e">
        <f t="shared" si="260"/>
        <v>#REF!</v>
      </c>
      <c r="C711" s="47" t="e">
        <f t="shared" si="260"/>
        <v>#REF!</v>
      </c>
      <c r="D711" s="47" t="e">
        <f t="shared" si="260"/>
        <v>#REF!</v>
      </c>
      <c r="E711" s="47" t="e">
        <f t="shared" si="260"/>
        <v>#REF!</v>
      </c>
      <c r="F711" s="47" t="e">
        <f t="shared" si="260"/>
        <v>#REF!</v>
      </c>
      <c r="G711" s="47" t="e">
        <f t="shared" si="260"/>
        <v>#REF!</v>
      </c>
      <c r="H711" s="47" t="e">
        <f t="shared" si="260"/>
        <v>#REF!</v>
      </c>
    </row>
    <row r="712" spans="1:8" ht="12.75" hidden="1" x14ac:dyDescent="0.2">
      <c r="A712" s="47" t="e">
        <f t="shared" ref="A712:H712" si="261">#REF!</f>
        <v>#REF!</v>
      </c>
      <c r="B712" s="47" t="e">
        <f t="shared" si="261"/>
        <v>#REF!</v>
      </c>
      <c r="C712" s="47" t="e">
        <f t="shared" si="261"/>
        <v>#REF!</v>
      </c>
      <c r="D712" s="47" t="e">
        <f t="shared" si="261"/>
        <v>#REF!</v>
      </c>
      <c r="E712" s="47" t="e">
        <f t="shared" si="261"/>
        <v>#REF!</v>
      </c>
      <c r="F712" s="47" t="e">
        <f t="shared" si="261"/>
        <v>#REF!</v>
      </c>
      <c r="G712" s="47" t="e">
        <f t="shared" si="261"/>
        <v>#REF!</v>
      </c>
      <c r="H712" s="47" t="e">
        <f t="shared" si="261"/>
        <v>#REF!</v>
      </c>
    </row>
    <row r="713" spans="1:8" ht="12.75" hidden="1" x14ac:dyDescent="0.2">
      <c r="A713" s="47" t="e">
        <f t="shared" ref="A713:H713" si="262">#REF!</f>
        <v>#REF!</v>
      </c>
      <c r="B713" s="47" t="e">
        <f t="shared" si="262"/>
        <v>#REF!</v>
      </c>
      <c r="C713" s="47" t="e">
        <f t="shared" si="262"/>
        <v>#REF!</v>
      </c>
      <c r="D713" s="47" t="e">
        <f t="shared" si="262"/>
        <v>#REF!</v>
      </c>
      <c r="E713" s="47" t="e">
        <f t="shared" si="262"/>
        <v>#REF!</v>
      </c>
      <c r="F713" s="47" t="e">
        <f t="shared" si="262"/>
        <v>#REF!</v>
      </c>
      <c r="G713" s="47" t="e">
        <f t="shared" si="262"/>
        <v>#REF!</v>
      </c>
      <c r="H713" s="47" t="e">
        <f t="shared" si="262"/>
        <v>#REF!</v>
      </c>
    </row>
    <row r="714" spans="1:8" ht="12.75" hidden="1" x14ac:dyDescent="0.2">
      <c r="A714" s="47" t="e">
        <f t="shared" ref="A714:H714" si="263">#REF!</f>
        <v>#REF!</v>
      </c>
      <c r="B714" s="47" t="e">
        <f t="shared" si="263"/>
        <v>#REF!</v>
      </c>
      <c r="C714" s="47" t="e">
        <f t="shared" si="263"/>
        <v>#REF!</v>
      </c>
      <c r="D714" s="47" t="e">
        <f t="shared" si="263"/>
        <v>#REF!</v>
      </c>
      <c r="E714" s="47" t="e">
        <f t="shared" si="263"/>
        <v>#REF!</v>
      </c>
      <c r="F714" s="47" t="e">
        <f t="shared" si="263"/>
        <v>#REF!</v>
      </c>
      <c r="G714" s="47" t="e">
        <f t="shared" si="263"/>
        <v>#REF!</v>
      </c>
      <c r="H714" s="47" t="e">
        <f t="shared" si="263"/>
        <v>#REF!</v>
      </c>
    </row>
    <row r="715" spans="1:8" ht="12.75" hidden="1" x14ac:dyDescent="0.2">
      <c r="A715" s="47" t="e">
        <f t="shared" ref="A715:H715" si="264">#REF!</f>
        <v>#REF!</v>
      </c>
      <c r="B715" s="47" t="e">
        <f t="shared" si="264"/>
        <v>#REF!</v>
      </c>
      <c r="C715" s="47" t="e">
        <f t="shared" si="264"/>
        <v>#REF!</v>
      </c>
      <c r="D715" s="47" t="e">
        <f t="shared" si="264"/>
        <v>#REF!</v>
      </c>
      <c r="E715" s="47" t="e">
        <f t="shared" si="264"/>
        <v>#REF!</v>
      </c>
      <c r="F715" s="47" t="e">
        <f t="shared" si="264"/>
        <v>#REF!</v>
      </c>
      <c r="G715" s="47" t="e">
        <f t="shared" si="264"/>
        <v>#REF!</v>
      </c>
      <c r="H715" s="47" t="e">
        <f t="shared" si="264"/>
        <v>#REF!</v>
      </c>
    </row>
    <row r="716" spans="1:8" ht="12.75" hidden="1" x14ac:dyDescent="0.2">
      <c r="A716" s="47" t="e">
        <f t="shared" ref="A716:H716" si="265">#REF!</f>
        <v>#REF!</v>
      </c>
      <c r="B716" s="47" t="e">
        <f t="shared" si="265"/>
        <v>#REF!</v>
      </c>
      <c r="C716" s="47" t="e">
        <f t="shared" si="265"/>
        <v>#REF!</v>
      </c>
      <c r="D716" s="47" t="e">
        <f t="shared" si="265"/>
        <v>#REF!</v>
      </c>
      <c r="E716" s="47" t="e">
        <f t="shared" si="265"/>
        <v>#REF!</v>
      </c>
      <c r="F716" s="47" t="e">
        <f t="shared" si="265"/>
        <v>#REF!</v>
      </c>
      <c r="G716" s="47" t="e">
        <f t="shared" si="265"/>
        <v>#REF!</v>
      </c>
      <c r="H716" s="47" t="e">
        <f t="shared" si="265"/>
        <v>#REF!</v>
      </c>
    </row>
    <row r="717" spans="1:8" ht="12.75" hidden="1" x14ac:dyDescent="0.2">
      <c r="A717" s="47" t="e">
        <f t="shared" ref="A717:H717" si="266">#REF!</f>
        <v>#REF!</v>
      </c>
      <c r="B717" s="47" t="e">
        <f t="shared" si="266"/>
        <v>#REF!</v>
      </c>
      <c r="C717" s="47" t="e">
        <f t="shared" si="266"/>
        <v>#REF!</v>
      </c>
      <c r="D717" s="47" t="e">
        <f t="shared" si="266"/>
        <v>#REF!</v>
      </c>
      <c r="E717" s="47" t="e">
        <f t="shared" si="266"/>
        <v>#REF!</v>
      </c>
      <c r="F717" s="47" t="e">
        <f t="shared" si="266"/>
        <v>#REF!</v>
      </c>
      <c r="G717" s="47" t="e">
        <f t="shared" si="266"/>
        <v>#REF!</v>
      </c>
      <c r="H717" s="47" t="e">
        <f t="shared" si="266"/>
        <v>#REF!</v>
      </c>
    </row>
    <row r="718" spans="1:8" ht="12.75" hidden="1" x14ac:dyDescent="0.2">
      <c r="A718" s="47" t="e">
        <f t="shared" ref="A718:H718" si="267">#REF!</f>
        <v>#REF!</v>
      </c>
      <c r="B718" s="47" t="e">
        <f t="shared" si="267"/>
        <v>#REF!</v>
      </c>
      <c r="C718" s="47" t="e">
        <f t="shared" si="267"/>
        <v>#REF!</v>
      </c>
      <c r="D718" s="47" t="e">
        <f t="shared" si="267"/>
        <v>#REF!</v>
      </c>
      <c r="E718" s="47" t="e">
        <f t="shared" si="267"/>
        <v>#REF!</v>
      </c>
      <c r="F718" s="47" t="e">
        <f t="shared" si="267"/>
        <v>#REF!</v>
      </c>
      <c r="G718" s="47" t="e">
        <f t="shared" si="267"/>
        <v>#REF!</v>
      </c>
      <c r="H718" s="47" t="e">
        <f t="shared" si="267"/>
        <v>#REF!</v>
      </c>
    </row>
    <row r="719" spans="1:8" ht="12.75" hidden="1" x14ac:dyDescent="0.2">
      <c r="A719" s="47" t="e">
        <f t="shared" ref="A719:H719" si="268">#REF!</f>
        <v>#REF!</v>
      </c>
      <c r="B719" s="47" t="e">
        <f t="shared" si="268"/>
        <v>#REF!</v>
      </c>
      <c r="C719" s="47" t="e">
        <f t="shared" si="268"/>
        <v>#REF!</v>
      </c>
      <c r="D719" s="47" t="e">
        <f t="shared" si="268"/>
        <v>#REF!</v>
      </c>
      <c r="E719" s="47" t="e">
        <f t="shared" si="268"/>
        <v>#REF!</v>
      </c>
      <c r="F719" s="47" t="e">
        <f t="shared" si="268"/>
        <v>#REF!</v>
      </c>
      <c r="G719" s="47" t="e">
        <f t="shared" si="268"/>
        <v>#REF!</v>
      </c>
      <c r="H719" s="47" t="e">
        <f t="shared" si="268"/>
        <v>#REF!</v>
      </c>
    </row>
    <row r="720" spans="1:8" ht="12.75" hidden="1" x14ac:dyDescent="0.2">
      <c r="A720" s="47" t="e">
        <f t="shared" ref="A720:H720" si="269">#REF!</f>
        <v>#REF!</v>
      </c>
      <c r="B720" s="47" t="e">
        <f t="shared" si="269"/>
        <v>#REF!</v>
      </c>
      <c r="C720" s="47" t="e">
        <f t="shared" si="269"/>
        <v>#REF!</v>
      </c>
      <c r="D720" s="47" t="e">
        <f t="shared" si="269"/>
        <v>#REF!</v>
      </c>
      <c r="E720" s="47" t="e">
        <f t="shared" si="269"/>
        <v>#REF!</v>
      </c>
      <c r="F720" s="47" t="e">
        <f t="shared" si="269"/>
        <v>#REF!</v>
      </c>
      <c r="G720" s="47" t="e">
        <f t="shared" si="269"/>
        <v>#REF!</v>
      </c>
      <c r="H720" s="47" t="e">
        <f t="shared" si="269"/>
        <v>#REF!</v>
      </c>
    </row>
    <row r="721" spans="1:8" ht="12.75" hidden="1" x14ac:dyDescent="0.2">
      <c r="A721" s="47" t="e">
        <f t="shared" ref="A721:H721" si="270">#REF!</f>
        <v>#REF!</v>
      </c>
      <c r="B721" s="47" t="e">
        <f t="shared" si="270"/>
        <v>#REF!</v>
      </c>
      <c r="C721" s="47" t="e">
        <f t="shared" si="270"/>
        <v>#REF!</v>
      </c>
      <c r="D721" s="47" t="e">
        <f t="shared" si="270"/>
        <v>#REF!</v>
      </c>
      <c r="E721" s="47" t="e">
        <f t="shared" si="270"/>
        <v>#REF!</v>
      </c>
      <c r="F721" s="47" t="e">
        <f t="shared" si="270"/>
        <v>#REF!</v>
      </c>
      <c r="G721" s="47" t="e">
        <f t="shared" si="270"/>
        <v>#REF!</v>
      </c>
      <c r="H721" s="47" t="e">
        <f t="shared" si="270"/>
        <v>#REF!</v>
      </c>
    </row>
    <row r="722" spans="1:8" ht="12.75" hidden="1" x14ac:dyDescent="0.2">
      <c r="A722" s="47" t="e">
        <f t="shared" ref="A722:H722" si="271">#REF!</f>
        <v>#REF!</v>
      </c>
      <c r="B722" s="47" t="e">
        <f t="shared" si="271"/>
        <v>#REF!</v>
      </c>
      <c r="C722" s="47" t="e">
        <f t="shared" si="271"/>
        <v>#REF!</v>
      </c>
      <c r="D722" s="47" t="e">
        <f t="shared" si="271"/>
        <v>#REF!</v>
      </c>
      <c r="E722" s="47" t="e">
        <f t="shared" si="271"/>
        <v>#REF!</v>
      </c>
      <c r="F722" s="47" t="e">
        <f t="shared" si="271"/>
        <v>#REF!</v>
      </c>
      <c r="G722" s="47" t="e">
        <f t="shared" si="271"/>
        <v>#REF!</v>
      </c>
      <c r="H722" s="47" t="e">
        <f t="shared" si="271"/>
        <v>#REF!</v>
      </c>
    </row>
    <row r="723" spans="1:8" ht="12.75" hidden="1" x14ac:dyDescent="0.2">
      <c r="A723" s="47" t="e">
        <f t="shared" ref="A723:H723" si="272">#REF!</f>
        <v>#REF!</v>
      </c>
      <c r="B723" s="47" t="e">
        <f t="shared" si="272"/>
        <v>#REF!</v>
      </c>
      <c r="C723" s="47" t="e">
        <f t="shared" si="272"/>
        <v>#REF!</v>
      </c>
      <c r="D723" s="47" t="e">
        <f t="shared" si="272"/>
        <v>#REF!</v>
      </c>
      <c r="E723" s="47" t="e">
        <f t="shared" si="272"/>
        <v>#REF!</v>
      </c>
      <c r="F723" s="47" t="e">
        <f t="shared" si="272"/>
        <v>#REF!</v>
      </c>
      <c r="G723" s="47" t="e">
        <f t="shared" si="272"/>
        <v>#REF!</v>
      </c>
      <c r="H723" s="47" t="e">
        <f t="shared" si="272"/>
        <v>#REF!</v>
      </c>
    </row>
    <row r="724" spans="1:8" ht="12.75" hidden="1" x14ac:dyDescent="0.2">
      <c r="A724" s="47" t="e">
        <f t="shared" ref="A724:H724" si="273">#REF!</f>
        <v>#REF!</v>
      </c>
      <c r="B724" s="47" t="e">
        <f t="shared" si="273"/>
        <v>#REF!</v>
      </c>
      <c r="C724" s="47" t="e">
        <f t="shared" si="273"/>
        <v>#REF!</v>
      </c>
      <c r="D724" s="47" t="e">
        <f t="shared" si="273"/>
        <v>#REF!</v>
      </c>
      <c r="E724" s="47" t="e">
        <f t="shared" si="273"/>
        <v>#REF!</v>
      </c>
      <c r="F724" s="47" t="e">
        <f t="shared" si="273"/>
        <v>#REF!</v>
      </c>
      <c r="G724" s="47" t="e">
        <f t="shared" si="273"/>
        <v>#REF!</v>
      </c>
      <c r="H724" s="47" t="e">
        <f t="shared" si="273"/>
        <v>#REF!</v>
      </c>
    </row>
    <row r="725" spans="1:8" ht="12.75" hidden="1" x14ac:dyDescent="0.2">
      <c r="A725" s="47" t="e">
        <f t="shared" ref="A725:H725" si="274">#REF!</f>
        <v>#REF!</v>
      </c>
      <c r="B725" s="47" t="e">
        <f t="shared" si="274"/>
        <v>#REF!</v>
      </c>
      <c r="C725" s="47" t="e">
        <f t="shared" si="274"/>
        <v>#REF!</v>
      </c>
      <c r="D725" s="47" t="e">
        <f t="shared" si="274"/>
        <v>#REF!</v>
      </c>
      <c r="E725" s="47" t="e">
        <f t="shared" si="274"/>
        <v>#REF!</v>
      </c>
      <c r="F725" s="47" t="e">
        <f t="shared" si="274"/>
        <v>#REF!</v>
      </c>
      <c r="G725" s="47" t="e">
        <f t="shared" si="274"/>
        <v>#REF!</v>
      </c>
      <c r="H725" s="47" t="e">
        <f t="shared" si="274"/>
        <v>#REF!</v>
      </c>
    </row>
    <row r="726" spans="1:8" ht="12.75" hidden="1" x14ac:dyDescent="0.2">
      <c r="A726" s="47" t="e">
        <f t="shared" ref="A726:H726" si="275">#REF!</f>
        <v>#REF!</v>
      </c>
      <c r="B726" s="47" t="e">
        <f t="shared" si="275"/>
        <v>#REF!</v>
      </c>
      <c r="C726" s="47" t="e">
        <f t="shared" si="275"/>
        <v>#REF!</v>
      </c>
      <c r="D726" s="47" t="e">
        <f t="shared" si="275"/>
        <v>#REF!</v>
      </c>
      <c r="E726" s="47" t="e">
        <f t="shared" si="275"/>
        <v>#REF!</v>
      </c>
      <c r="F726" s="47" t="e">
        <f t="shared" si="275"/>
        <v>#REF!</v>
      </c>
      <c r="G726" s="47" t="e">
        <f t="shared" si="275"/>
        <v>#REF!</v>
      </c>
      <c r="H726" s="47" t="e">
        <f t="shared" si="275"/>
        <v>#REF!</v>
      </c>
    </row>
    <row r="727" spans="1:8" ht="12.75" hidden="1" x14ac:dyDescent="0.2">
      <c r="A727" s="47" t="e">
        <f t="shared" ref="A727:H727" si="276">#REF!</f>
        <v>#REF!</v>
      </c>
      <c r="B727" s="47" t="e">
        <f t="shared" si="276"/>
        <v>#REF!</v>
      </c>
      <c r="C727" s="47" t="e">
        <f t="shared" si="276"/>
        <v>#REF!</v>
      </c>
      <c r="D727" s="47" t="e">
        <f t="shared" si="276"/>
        <v>#REF!</v>
      </c>
      <c r="E727" s="47" t="e">
        <f t="shared" si="276"/>
        <v>#REF!</v>
      </c>
      <c r="F727" s="47" t="e">
        <f t="shared" si="276"/>
        <v>#REF!</v>
      </c>
      <c r="G727" s="47" t="e">
        <f t="shared" si="276"/>
        <v>#REF!</v>
      </c>
      <c r="H727" s="47" t="e">
        <f t="shared" si="276"/>
        <v>#REF!</v>
      </c>
    </row>
    <row r="728" spans="1:8" ht="12.75" hidden="1" x14ac:dyDescent="0.2">
      <c r="A728" s="47" t="e">
        <f t="shared" ref="A728:H728" si="277">#REF!</f>
        <v>#REF!</v>
      </c>
      <c r="B728" s="47" t="e">
        <f t="shared" si="277"/>
        <v>#REF!</v>
      </c>
      <c r="C728" s="47" t="e">
        <f t="shared" si="277"/>
        <v>#REF!</v>
      </c>
      <c r="D728" s="47" t="e">
        <f t="shared" si="277"/>
        <v>#REF!</v>
      </c>
      <c r="E728" s="47" t="e">
        <f t="shared" si="277"/>
        <v>#REF!</v>
      </c>
      <c r="F728" s="47" t="e">
        <f t="shared" si="277"/>
        <v>#REF!</v>
      </c>
      <c r="G728" s="47" t="e">
        <f t="shared" si="277"/>
        <v>#REF!</v>
      </c>
      <c r="H728" s="47" t="e">
        <f t="shared" si="277"/>
        <v>#REF!</v>
      </c>
    </row>
    <row r="729" spans="1:8" ht="12.75" hidden="1" x14ac:dyDescent="0.2">
      <c r="A729" s="47" t="e">
        <f t="shared" ref="A729:H729" si="278">#REF!</f>
        <v>#REF!</v>
      </c>
      <c r="B729" s="47" t="e">
        <f t="shared" si="278"/>
        <v>#REF!</v>
      </c>
      <c r="C729" s="47" t="e">
        <f t="shared" si="278"/>
        <v>#REF!</v>
      </c>
      <c r="D729" s="47" t="e">
        <f t="shared" si="278"/>
        <v>#REF!</v>
      </c>
      <c r="E729" s="47" t="e">
        <f t="shared" si="278"/>
        <v>#REF!</v>
      </c>
      <c r="F729" s="47" t="e">
        <f t="shared" si="278"/>
        <v>#REF!</v>
      </c>
      <c r="G729" s="47" t="e">
        <f t="shared" si="278"/>
        <v>#REF!</v>
      </c>
      <c r="H729" s="47" t="e">
        <f t="shared" si="278"/>
        <v>#REF!</v>
      </c>
    </row>
    <row r="730" spans="1:8" ht="12.75" hidden="1" x14ac:dyDescent="0.2">
      <c r="A730" s="47" t="e">
        <f t="shared" ref="A730:H730" si="279">#REF!</f>
        <v>#REF!</v>
      </c>
      <c r="B730" s="47" t="e">
        <f t="shared" si="279"/>
        <v>#REF!</v>
      </c>
      <c r="C730" s="47" t="e">
        <f t="shared" si="279"/>
        <v>#REF!</v>
      </c>
      <c r="D730" s="47" t="e">
        <f t="shared" si="279"/>
        <v>#REF!</v>
      </c>
      <c r="E730" s="47" t="e">
        <f t="shared" si="279"/>
        <v>#REF!</v>
      </c>
      <c r="F730" s="47" t="e">
        <f t="shared" si="279"/>
        <v>#REF!</v>
      </c>
      <c r="G730" s="47" t="e">
        <f t="shared" si="279"/>
        <v>#REF!</v>
      </c>
      <c r="H730" s="47" t="e">
        <f t="shared" si="279"/>
        <v>#REF!</v>
      </c>
    </row>
    <row r="731" spans="1:8" ht="12.75" hidden="1" x14ac:dyDescent="0.2">
      <c r="A731" s="47" t="e">
        <f t="shared" ref="A731:H731" si="280">#REF!</f>
        <v>#REF!</v>
      </c>
      <c r="B731" s="47" t="e">
        <f t="shared" si="280"/>
        <v>#REF!</v>
      </c>
      <c r="C731" s="47" t="e">
        <f t="shared" si="280"/>
        <v>#REF!</v>
      </c>
      <c r="D731" s="47" t="e">
        <f t="shared" si="280"/>
        <v>#REF!</v>
      </c>
      <c r="E731" s="47" t="e">
        <f t="shared" si="280"/>
        <v>#REF!</v>
      </c>
      <c r="F731" s="47" t="e">
        <f t="shared" si="280"/>
        <v>#REF!</v>
      </c>
      <c r="G731" s="47" t="e">
        <f t="shared" si="280"/>
        <v>#REF!</v>
      </c>
      <c r="H731" s="47" t="e">
        <f t="shared" si="280"/>
        <v>#REF!</v>
      </c>
    </row>
    <row r="732" spans="1:8" ht="12.75" hidden="1" x14ac:dyDescent="0.2">
      <c r="A732" s="47" t="e">
        <f t="shared" ref="A732:H732" si="281">#REF!</f>
        <v>#REF!</v>
      </c>
      <c r="B732" s="47" t="e">
        <f t="shared" si="281"/>
        <v>#REF!</v>
      </c>
      <c r="C732" s="47" t="e">
        <f t="shared" si="281"/>
        <v>#REF!</v>
      </c>
      <c r="D732" s="47" t="e">
        <f t="shared" si="281"/>
        <v>#REF!</v>
      </c>
      <c r="E732" s="47" t="e">
        <f t="shared" si="281"/>
        <v>#REF!</v>
      </c>
      <c r="F732" s="47" t="e">
        <f t="shared" si="281"/>
        <v>#REF!</v>
      </c>
      <c r="G732" s="47" t="e">
        <f t="shared" si="281"/>
        <v>#REF!</v>
      </c>
      <c r="H732" s="47" t="e">
        <f t="shared" si="281"/>
        <v>#REF!</v>
      </c>
    </row>
    <row r="733" spans="1:8" ht="12.75" hidden="1" x14ac:dyDescent="0.2">
      <c r="A733" s="47" t="e">
        <f t="shared" ref="A733:H733" si="282">#REF!</f>
        <v>#REF!</v>
      </c>
      <c r="B733" s="47" t="e">
        <f t="shared" si="282"/>
        <v>#REF!</v>
      </c>
      <c r="C733" s="47" t="e">
        <f t="shared" si="282"/>
        <v>#REF!</v>
      </c>
      <c r="D733" s="47" t="e">
        <f t="shared" si="282"/>
        <v>#REF!</v>
      </c>
      <c r="E733" s="47" t="e">
        <f t="shared" si="282"/>
        <v>#REF!</v>
      </c>
      <c r="F733" s="47" t="e">
        <f t="shared" si="282"/>
        <v>#REF!</v>
      </c>
      <c r="G733" s="47" t="e">
        <f t="shared" si="282"/>
        <v>#REF!</v>
      </c>
      <c r="H733" s="47" t="e">
        <f t="shared" si="282"/>
        <v>#REF!</v>
      </c>
    </row>
    <row r="734" spans="1:8" ht="12.75" hidden="1" x14ac:dyDescent="0.2">
      <c r="A734" s="47" t="e">
        <f t="shared" ref="A734:H734" si="283">#REF!</f>
        <v>#REF!</v>
      </c>
      <c r="B734" s="47" t="e">
        <f t="shared" si="283"/>
        <v>#REF!</v>
      </c>
      <c r="C734" s="47" t="e">
        <f t="shared" si="283"/>
        <v>#REF!</v>
      </c>
      <c r="D734" s="47" t="e">
        <f t="shared" si="283"/>
        <v>#REF!</v>
      </c>
      <c r="E734" s="47" t="e">
        <f t="shared" si="283"/>
        <v>#REF!</v>
      </c>
      <c r="F734" s="47" t="e">
        <f t="shared" si="283"/>
        <v>#REF!</v>
      </c>
      <c r="G734" s="47" t="e">
        <f t="shared" si="283"/>
        <v>#REF!</v>
      </c>
      <c r="H734" s="47" t="e">
        <f t="shared" si="283"/>
        <v>#REF!</v>
      </c>
    </row>
    <row r="735" spans="1:8" ht="12.75" hidden="1" x14ac:dyDescent="0.2">
      <c r="A735" s="47" t="e">
        <f t="shared" ref="A735:H735" si="284">#REF!</f>
        <v>#REF!</v>
      </c>
      <c r="B735" s="47" t="e">
        <f t="shared" si="284"/>
        <v>#REF!</v>
      </c>
      <c r="C735" s="47" t="e">
        <f t="shared" si="284"/>
        <v>#REF!</v>
      </c>
      <c r="D735" s="47" t="e">
        <f t="shared" si="284"/>
        <v>#REF!</v>
      </c>
      <c r="E735" s="47" t="e">
        <f t="shared" si="284"/>
        <v>#REF!</v>
      </c>
      <c r="F735" s="47" t="e">
        <f t="shared" si="284"/>
        <v>#REF!</v>
      </c>
      <c r="G735" s="47" t="e">
        <f t="shared" si="284"/>
        <v>#REF!</v>
      </c>
      <c r="H735" s="47" t="e">
        <f t="shared" si="284"/>
        <v>#REF!</v>
      </c>
    </row>
    <row r="736" spans="1:8" ht="12.75" hidden="1" x14ac:dyDescent="0.2">
      <c r="A736" s="47" t="e">
        <f t="shared" ref="A736:H736" si="285">#REF!</f>
        <v>#REF!</v>
      </c>
      <c r="B736" s="47" t="e">
        <f t="shared" si="285"/>
        <v>#REF!</v>
      </c>
      <c r="C736" s="47" t="e">
        <f t="shared" si="285"/>
        <v>#REF!</v>
      </c>
      <c r="D736" s="47" t="e">
        <f t="shared" si="285"/>
        <v>#REF!</v>
      </c>
      <c r="E736" s="47" t="e">
        <f t="shared" si="285"/>
        <v>#REF!</v>
      </c>
      <c r="F736" s="47" t="e">
        <f t="shared" si="285"/>
        <v>#REF!</v>
      </c>
      <c r="G736" s="47" t="e">
        <f t="shared" si="285"/>
        <v>#REF!</v>
      </c>
      <c r="H736" s="47" t="e">
        <f t="shared" si="285"/>
        <v>#REF!</v>
      </c>
    </row>
    <row r="737" spans="1:8" ht="12.75" hidden="1" x14ac:dyDescent="0.2">
      <c r="A737" s="47" t="e">
        <f t="shared" ref="A737:H737" si="286">#REF!</f>
        <v>#REF!</v>
      </c>
      <c r="B737" s="47" t="e">
        <f t="shared" si="286"/>
        <v>#REF!</v>
      </c>
      <c r="C737" s="47" t="e">
        <f t="shared" si="286"/>
        <v>#REF!</v>
      </c>
      <c r="D737" s="47" t="e">
        <f t="shared" si="286"/>
        <v>#REF!</v>
      </c>
      <c r="E737" s="47" t="e">
        <f t="shared" si="286"/>
        <v>#REF!</v>
      </c>
      <c r="F737" s="47" t="e">
        <f t="shared" si="286"/>
        <v>#REF!</v>
      </c>
      <c r="G737" s="47" t="e">
        <f t="shared" si="286"/>
        <v>#REF!</v>
      </c>
      <c r="H737" s="47" t="e">
        <f t="shared" si="286"/>
        <v>#REF!</v>
      </c>
    </row>
    <row r="738" spans="1:8" ht="12.75" hidden="1" x14ac:dyDescent="0.2">
      <c r="A738" s="47" t="e">
        <f t="shared" ref="A738:H738" si="287">#REF!</f>
        <v>#REF!</v>
      </c>
      <c r="B738" s="47" t="e">
        <f t="shared" si="287"/>
        <v>#REF!</v>
      </c>
      <c r="C738" s="47" t="e">
        <f t="shared" si="287"/>
        <v>#REF!</v>
      </c>
      <c r="D738" s="47" t="e">
        <f t="shared" si="287"/>
        <v>#REF!</v>
      </c>
      <c r="E738" s="47" t="e">
        <f t="shared" si="287"/>
        <v>#REF!</v>
      </c>
      <c r="F738" s="47" t="e">
        <f t="shared" si="287"/>
        <v>#REF!</v>
      </c>
      <c r="G738" s="47" t="e">
        <f t="shared" si="287"/>
        <v>#REF!</v>
      </c>
      <c r="H738" s="47" t="e">
        <f t="shared" si="287"/>
        <v>#REF!</v>
      </c>
    </row>
    <row r="739" spans="1:8" ht="12.75" hidden="1" x14ac:dyDescent="0.2">
      <c r="A739" s="47" t="e">
        <f t="shared" ref="A739:H739" si="288">#REF!</f>
        <v>#REF!</v>
      </c>
      <c r="B739" s="47" t="e">
        <f t="shared" si="288"/>
        <v>#REF!</v>
      </c>
      <c r="C739" s="47" t="e">
        <f t="shared" si="288"/>
        <v>#REF!</v>
      </c>
      <c r="D739" s="47" t="e">
        <f t="shared" si="288"/>
        <v>#REF!</v>
      </c>
      <c r="E739" s="47" t="e">
        <f t="shared" si="288"/>
        <v>#REF!</v>
      </c>
      <c r="F739" s="47" t="e">
        <f t="shared" si="288"/>
        <v>#REF!</v>
      </c>
      <c r="G739" s="47" t="e">
        <f t="shared" si="288"/>
        <v>#REF!</v>
      </c>
      <c r="H739" s="47" t="e">
        <f t="shared" si="288"/>
        <v>#REF!</v>
      </c>
    </row>
    <row r="740" spans="1:8" ht="12.75" hidden="1" x14ac:dyDescent="0.2">
      <c r="A740" s="47" t="e">
        <f t="shared" ref="A740:H740" si="289">#REF!</f>
        <v>#REF!</v>
      </c>
      <c r="B740" s="47" t="e">
        <f t="shared" si="289"/>
        <v>#REF!</v>
      </c>
      <c r="C740" s="47" t="e">
        <f t="shared" si="289"/>
        <v>#REF!</v>
      </c>
      <c r="D740" s="47" t="e">
        <f t="shared" si="289"/>
        <v>#REF!</v>
      </c>
      <c r="E740" s="47" t="e">
        <f t="shared" si="289"/>
        <v>#REF!</v>
      </c>
      <c r="F740" s="47" t="e">
        <f t="shared" si="289"/>
        <v>#REF!</v>
      </c>
      <c r="G740" s="47" t="e">
        <f t="shared" si="289"/>
        <v>#REF!</v>
      </c>
      <c r="H740" s="47" t="e">
        <f t="shared" si="289"/>
        <v>#REF!</v>
      </c>
    </row>
    <row r="741" spans="1:8" ht="12.75" hidden="1" x14ac:dyDescent="0.2">
      <c r="A741" s="47" t="e">
        <f t="shared" ref="A741:H741" si="290">#REF!</f>
        <v>#REF!</v>
      </c>
      <c r="B741" s="47" t="e">
        <f t="shared" si="290"/>
        <v>#REF!</v>
      </c>
      <c r="C741" s="47" t="e">
        <f t="shared" si="290"/>
        <v>#REF!</v>
      </c>
      <c r="D741" s="47" t="e">
        <f t="shared" si="290"/>
        <v>#REF!</v>
      </c>
      <c r="E741" s="47" t="e">
        <f t="shared" si="290"/>
        <v>#REF!</v>
      </c>
      <c r="F741" s="47" t="e">
        <f t="shared" si="290"/>
        <v>#REF!</v>
      </c>
      <c r="G741" s="47" t="e">
        <f t="shared" si="290"/>
        <v>#REF!</v>
      </c>
      <c r="H741" s="47" t="e">
        <f t="shared" si="290"/>
        <v>#REF!</v>
      </c>
    </row>
    <row r="742" spans="1:8" ht="12.75" hidden="1" x14ac:dyDescent="0.2">
      <c r="A742" s="47" t="e">
        <f t="shared" ref="A742:H742" si="291">#REF!</f>
        <v>#REF!</v>
      </c>
      <c r="B742" s="47" t="e">
        <f t="shared" si="291"/>
        <v>#REF!</v>
      </c>
      <c r="C742" s="47" t="e">
        <f t="shared" si="291"/>
        <v>#REF!</v>
      </c>
      <c r="D742" s="47" t="e">
        <f t="shared" si="291"/>
        <v>#REF!</v>
      </c>
      <c r="E742" s="47" t="e">
        <f t="shared" si="291"/>
        <v>#REF!</v>
      </c>
      <c r="F742" s="47" t="e">
        <f t="shared" si="291"/>
        <v>#REF!</v>
      </c>
      <c r="G742" s="47" t="e">
        <f t="shared" si="291"/>
        <v>#REF!</v>
      </c>
      <c r="H742" s="47" t="e">
        <f t="shared" si="291"/>
        <v>#REF!</v>
      </c>
    </row>
    <row r="743" spans="1:8" ht="12.75" hidden="1" x14ac:dyDescent="0.2">
      <c r="A743" s="47" t="e">
        <f t="shared" ref="A743:H743" si="292">#REF!</f>
        <v>#REF!</v>
      </c>
      <c r="B743" s="47" t="e">
        <f t="shared" si="292"/>
        <v>#REF!</v>
      </c>
      <c r="C743" s="47" t="e">
        <f t="shared" si="292"/>
        <v>#REF!</v>
      </c>
      <c r="D743" s="47" t="e">
        <f t="shared" si="292"/>
        <v>#REF!</v>
      </c>
      <c r="E743" s="47" t="e">
        <f t="shared" si="292"/>
        <v>#REF!</v>
      </c>
      <c r="F743" s="47" t="e">
        <f t="shared" si="292"/>
        <v>#REF!</v>
      </c>
      <c r="G743" s="47" t="e">
        <f t="shared" si="292"/>
        <v>#REF!</v>
      </c>
      <c r="H743" s="47" t="e">
        <f t="shared" si="292"/>
        <v>#REF!</v>
      </c>
    </row>
    <row r="744" spans="1:8" ht="12.75" hidden="1" x14ac:dyDescent="0.2">
      <c r="A744" s="47" t="e">
        <f t="shared" ref="A744:H744" si="293">#REF!</f>
        <v>#REF!</v>
      </c>
      <c r="B744" s="47" t="e">
        <f t="shared" si="293"/>
        <v>#REF!</v>
      </c>
      <c r="C744" s="47" t="e">
        <f t="shared" si="293"/>
        <v>#REF!</v>
      </c>
      <c r="D744" s="47" t="e">
        <f t="shared" si="293"/>
        <v>#REF!</v>
      </c>
      <c r="E744" s="47" t="e">
        <f t="shared" si="293"/>
        <v>#REF!</v>
      </c>
      <c r="F744" s="47" t="e">
        <f t="shared" si="293"/>
        <v>#REF!</v>
      </c>
      <c r="G744" s="47" t="e">
        <f t="shared" si="293"/>
        <v>#REF!</v>
      </c>
      <c r="H744" s="47" t="e">
        <f t="shared" si="293"/>
        <v>#REF!</v>
      </c>
    </row>
    <row r="745" spans="1:8" ht="12.75" hidden="1" x14ac:dyDescent="0.2">
      <c r="A745" s="47" t="e">
        <f t="shared" ref="A745:H745" si="294">#REF!</f>
        <v>#REF!</v>
      </c>
      <c r="B745" s="47" t="e">
        <f t="shared" si="294"/>
        <v>#REF!</v>
      </c>
      <c r="C745" s="47" t="e">
        <f t="shared" si="294"/>
        <v>#REF!</v>
      </c>
      <c r="D745" s="47" t="e">
        <f t="shared" si="294"/>
        <v>#REF!</v>
      </c>
      <c r="E745" s="47" t="e">
        <f t="shared" si="294"/>
        <v>#REF!</v>
      </c>
      <c r="F745" s="47" t="e">
        <f t="shared" si="294"/>
        <v>#REF!</v>
      </c>
      <c r="G745" s="47" t="e">
        <f t="shared" si="294"/>
        <v>#REF!</v>
      </c>
      <c r="H745" s="47" t="e">
        <f t="shared" si="294"/>
        <v>#REF!</v>
      </c>
    </row>
    <row r="746" spans="1:8" ht="12.75" hidden="1" x14ac:dyDescent="0.2">
      <c r="A746" s="47" t="e">
        <f t="shared" ref="A746:H746" si="295">#REF!</f>
        <v>#REF!</v>
      </c>
      <c r="B746" s="47" t="e">
        <f t="shared" si="295"/>
        <v>#REF!</v>
      </c>
      <c r="C746" s="47" t="e">
        <f t="shared" si="295"/>
        <v>#REF!</v>
      </c>
      <c r="D746" s="47" t="e">
        <f t="shared" si="295"/>
        <v>#REF!</v>
      </c>
      <c r="E746" s="47" t="e">
        <f t="shared" si="295"/>
        <v>#REF!</v>
      </c>
      <c r="F746" s="47" t="e">
        <f t="shared" si="295"/>
        <v>#REF!</v>
      </c>
      <c r="G746" s="47" t="e">
        <f t="shared" si="295"/>
        <v>#REF!</v>
      </c>
      <c r="H746" s="47" t="e">
        <f t="shared" si="295"/>
        <v>#REF!</v>
      </c>
    </row>
    <row r="747" spans="1:8" ht="12.75" hidden="1" x14ac:dyDescent="0.2">
      <c r="A747" s="47" t="e">
        <f t="shared" ref="A747:H747" si="296">#REF!</f>
        <v>#REF!</v>
      </c>
      <c r="B747" s="47" t="e">
        <f t="shared" si="296"/>
        <v>#REF!</v>
      </c>
      <c r="C747" s="47" t="e">
        <f t="shared" si="296"/>
        <v>#REF!</v>
      </c>
      <c r="D747" s="47" t="e">
        <f t="shared" si="296"/>
        <v>#REF!</v>
      </c>
      <c r="E747" s="47" t="e">
        <f t="shared" si="296"/>
        <v>#REF!</v>
      </c>
      <c r="F747" s="47" t="e">
        <f t="shared" si="296"/>
        <v>#REF!</v>
      </c>
      <c r="G747" s="47" t="e">
        <f t="shared" si="296"/>
        <v>#REF!</v>
      </c>
      <c r="H747" s="47" t="e">
        <f t="shared" si="296"/>
        <v>#REF!</v>
      </c>
    </row>
    <row r="748" spans="1:8" ht="12.75" hidden="1" x14ac:dyDescent="0.2">
      <c r="A748" s="47" t="e">
        <f t="shared" ref="A748:H748" si="297">#REF!</f>
        <v>#REF!</v>
      </c>
      <c r="B748" s="47" t="e">
        <f t="shared" si="297"/>
        <v>#REF!</v>
      </c>
      <c r="C748" s="47" t="e">
        <f t="shared" si="297"/>
        <v>#REF!</v>
      </c>
      <c r="D748" s="47" t="e">
        <f t="shared" si="297"/>
        <v>#REF!</v>
      </c>
      <c r="E748" s="47" t="e">
        <f t="shared" si="297"/>
        <v>#REF!</v>
      </c>
      <c r="F748" s="47" t="e">
        <f t="shared" si="297"/>
        <v>#REF!</v>
      </c>
      <c r="G748" s="47" t="e">
        <f t="shared" si="297"/>
        <v>#REF!</v>
      </c>
      <c r="H748" s="47" t="e">
        <f t="shared" si="297"/>
        <v>#REF!</v>
      </c>
    </row>
    <row r="749" spans="1:8" ht="12.75" hidden="1" x14ac:dyDescent="0.2">
      <c r="A749" s="47" t="e">
        <f t="shared" ref="A749:H749" si="298">#REF!</f>
        <v>#REF!</v>
      </c>
      <c r="B749" s="47" t="e">
        <f t="shared" si="298"/>
        <v>#REF!</v>
      </c>
      <c r="C749" s="47" t="e">
        <f t="shared" si="298"/>
        <v>#REF!</v>
      </c>
      <c r="D749" s="47" t="e">
        <f t="shared" si="298"/>
        <v>#REF!</v>
      </c>
      <c r="E749" s="47" t="e">
        <f t="shared" si="298"/>
        <v>#REF!</v>
      </c>
      <c r="F749" s="47" t="e">
        <f t="shared" si="298"/>
        <v>#REF!</v>
      </c>
      <c r="G749" s="47" t="e">
        <f t="shared" si="298"/>
        <v>#REF!</v>
      </c>
      <c r="H749" s="47" t="e">
        <f t="shared" si="298"/>
        <v>#REF!</v>
      </c>
    </row>
    <row r="750" spans="1:8" ht="12.75" hidden="1" x14ac:dyDescent="0.2">
      <c r="A750" s="47" t="e">
        <f t="shared" ref="A750:H750" si="299">#REF!</f>
        <v>#REF!</v>
      </c>
      <c r="B750" s="47" t="e">
        <f t="shared" si="299"/>
        <v>#REF!</v>
      </c>
      <c r="C750" s="47" t="e">
        <f t="shared" si="299"/>
        <v>#REF!</v>
      </c>
      <c r="D750" s="47" t="e">
        <f t="shared" si="299"/>
        <v>#REF!</v>
      </c>
      <c r="E750" s="47" t="e">
        <f t="shared" si="299"/>
        <v>#REF!</v>
      </c>
      <c r="F750" s="47" t="e">
        <f t="shared" si="299"/>
        <v>#REF!</v>
      </c>
      <c r="G750" s="47" t="e">
        <f t="shared" si="299"/>
        <v>#REF!</v>
      </c>
      <c r="H750" s="47" t="e">
        <f t="shared" si="299"/>
        <v>#REF!</v>
      </c>
    </row>
    <row r="751" spans="1:8" ht="12.75" hidden="1" x14ac:dyDescent="0.2">
      <c r="A751" s="47" t="e">
        <f t="shared" ref="A751:H751" si="300">#REF!</f>
        <v>#REF!</v>
      </c>
      <c r="B751" s="47" t="e">
        <f t="shared" si="300"/>
        <v>#REF!</v>
      </c>
      <c r="C751" s="47" t="e">
        <f t="shared" si="300"/>
        <v>#REF!</v>
      </c>
      <c r="D751" s="47" t="e">
        <f t="shared" si="300"/>
        <v>#REF!</v>
      </c>
      <c r="E751" s="47" t="e">
        <f t="shared" si="300"/>
        <v>#REF!</v>
      </c>
      <c r="F751" s="47" t="e">
        <f t="shared" si="300"/>
        <v>#REF!</v>
      </c>
      <c r="G751" s="47" t="e">
        <f t="shared" si="300"/>
        <v>#REF!</v>
      </c>
      <c r="H751" s="47" t="e">
        <f t="shared" si="300"/>
        <v>#REF!</v>
      </c>
    </row>
    <row r="752" spans="1:8" ht="12.75" hidden="1" x14ac:dyDescent="0.2">
      <c r="A752" s="47" t="e">
        <f t="shared" ref="A752:H752" si="301">#REF!</f>
        <v>#REF!</v>
      </c>
      <c r="B752" s="47" t="e">
        <f t="shared" si="301"/>
        <v>#REF!</v>
      </c>
      <c r="C752" s="47" t="e">
        <f t="shared" si="301"/>
        <v>#REF!</v>
      </c>
      <c r="D752" s="47" t="e">
        <f t="shared" si="301"/>
        <v>#REF!</v>
      </c>
      <c r="E752" s="47" t="e">
        <f t="shared" si="301"/>
        <v>#REF!</v>
      </c>
      <c r="F752" s="47" t="e">
        <f t="shared" si="301"/>
        <v>#REF!</v>
      </c>
      <c r="G752" s="47" t="e">
        <f t="shared" si="301"/>
        <v>#REF!</v>
      </c>
      <c r="H752" s="47" t="e">
        <f t="shared" si="301"/>
        <v>#REF!</v>
      </c>
    </row>
    <row r="753" spans="1:8" ht="12.75" hidden="1" x14ac:dyDescent="0.2">
      <c r="A753" s="47" t="e">
        <f t="shared" ref="A753:H753" si="302">#REF!</f>
        <v>#REF!</v>
      </c>
      <c r="B753" s="47" t="e">
        <f t="shared" si="302"/>
        <v>#REF!</v>
      </c>
      <c r="C753" s="47" t="e">
        <f t="shared" si="302"/>
        <v>#REF!</v>
      </c>
      <c r="D753" s="47" t="e">
        <f t="shared" si="302"/>
        <v>#REF!</v>
      </c>
      <c r="E753" s="47" t="e">
        <f t="shared" si="302"/>
        <v>#REF!</v>
      </c>
      <c r="F753" s="47" t="e">
        <f t="shared" si="302"/>
        <v>#REF!</v>
      </c>
      <c r="G753" s="47" t="e">
        <f t="shared" si="302"/>
        <v>#REF!</v>
      </c>
      <c r="H753" s="47" t="e">
        <f t="shared" si="302"/>
        <v>#REF!</v>
      </c>
    </row>
    <row r="754" spans="1:8" ht="12.75" hidden="1" x14ac:dyDescent="0.2">
      <c r="A754" s="47" t="e">
        <f t="shared" ref="A754:H754" si="303">#REF!</f>
        <v>#REF!</v>
      </c>
      <c r="B754" s="47" t="e">
        <f t="shared" si="303"/>
        <v>#REF!</v>
      </c>
      <c r="C754" s="47" t="e">
        <f t="shared" si="303"/>
        <v>#REF!</v>
      </c>
      <c r="D754" s="47" t="e">
        <f t="shared" si="303"/>
        <v>#REF!</v>
      </c>
      <c r="E754" s="47" t="e">
        <f t="shared" si="303"/>
        <v>#REF!</v>
      </c>
      <c r="F754" s="47" t="e">
        <f t="shared" si="303"/>
        <v>#REF!</v>
      </c>
      <c r="G754" s="47" t="e">
        <f t="shared" si="303"/>
        <v>#REF!</v>
      </c>
      <c r="H754" s="47" t="e">
        <f t="shared" si="303"/>
        <v>#REF!</v>
      </c>
    </row>
    <row r="755" spans="1:8" ht="12.75" hidden="1" x14ac:dyDescent="0.2">
      <c r="A755" s="47" t="e">
        <f t="shared" ref="A755:H755" si="304">#REF!</f>
        <v>#REF!</v>
      </c>
      <c r="B755" s="47" t="e">
        <f t="shared" si="304"/>
        <v>#REF!</v>
      </c>
      <c r="C755" s="47" t="e">
        <f t="shared" si="304"/>
        <v>#REF!</v>
      </c>
      <c r="D755" s="47" t="e">
        <f t="shared" si="304"/>
        <v>#REF!</v>
      </c>
      <c r="E755" s="47" t="e">
        <f t="shared" si="304"/>
        <v>#REF!</v>
      </c>
      <c r="F755" s="47" t="e">
        <f t="shared" si="304"/>
        <v>#REF!</v>
      </c>
      <c r="G755" s="47" t="e">
        <f t="shared" si="304"/>
        <v>#REF!</v>
      </c>
      <c r="H755" s="47" t="e">
        <f t="shared" si="304"/>
        <v>#REF!</v>
      </c>
    </row>
    <row r="756" spans="1:8" ht="12.75" hidden="1" x14ac:dyDescent="0.2">
      <c r="A756" s="47" t="e">
        <f t="shared" ref="A756:H756" si="305">#REF!</f>
        <v>#REF!</v>
      </c>
      <c r="B756" s="47" t="e">
        <f t="shared" si="305"/>
        <v>#REF!</v>
      </c>
      <c r="C756" s="47" t="e">
        <f t="shared" si="305"/>
        <v>#REF!</v>
      </c>
      <c r="D756" s="47" t="e">
        <f t="shared" si="305"/>
        <v>#REF!</v>
      </c>
      <c r="E756" s="47" t="e">
        <f t="shared" si="305"/>
        <v>#REF!</v>
      </c>
      <c r="F756" s="47" t="e">
        <f t="shared" si="305"/>
        <v>#REF!</v>
      </c>
      <c r="G756" s="47" t="e">
        <f t="shared" si="305"/>
        <v>#REF!</v>
      </c>
      <c r="H756" s="47" t="e">
        <f t="shared" si="305"/>
        <v>#REF!</v>
      </c>
    </row>
    <row r="757" spans="1:8" ht="12.75" hidden="1" x14ac:dyDescent="0.2">
      <c r="A757" s="47" t="e">
        <f t="shared" ref="A757:H757" si="306">#REF!</f>
        <v>#REF!</v>
      </c>
      <c r="B757" s="47" t="e">
        <f t="shared" si="306"/>
        <v>#REF!</v>
      </c>
      <c r="C757" s="47" t="e">
        <f t="shared" si="306"/>
        <v>#REF!</v>
      </c>
      <c r="D757" s="47" t="e">
        <f t="shared" si="306"/>
        <v>#REF!</v>
      </c>
      <c r="E757" s="47" t="e">
        <f t="shared" si="306"/>
        <v>#REF!</v>
      </c>
      <c r="F757" s="47" t="e">
        <f t="shared" si="306"/>
        <v>#REF!</v>
      </c>
      <c r="G757" s="47" t="e">
        <f t="shared" si="306"/>
        <v>#REF!</v>
      </c>
      <c r="H757" s="47" t="e">
        <f t="shared" si="306"/>
        <v>#REF!</v>
      </c>
    </row>
    <row r="758" spans="1:8" ht="12.75" hidden="1" x14ac:dyDescent="0.2">
      <c r="A758" s="47" t="e">
        <f t="shared" ref="A758:H758" si="307">#REF!</f>
        <v>#REF!</v>
      </c>
      <c r="B758" s="47" t="e">
        <f t="shared" si="307"/>
        <v>#REF!</v>
      </c>
      <c r="C758" s="47" t="e">
        <f t="shared" si="307"/>
        <v>#REF!</v>
      </c>
      <c r="D758" s="47" t="e">
        <f t="shared" si="307"/>
        <v>#REF!</v>
      </c>
      <c r="E758" s="47" t="e">
        <f t="shared" si="307"/>
        <v>#REF!</v>
      </c>
      <c r="F758" s="47" t="e">
        <f t="shared" si="307"/>
        <v>#REF!</v>
      </c>
      <c r="G758" s="47" t="e">
        <f t="shared" si="307"/>
        <v>#REF!</v>
      </c>
      <c r="H758" s="47" t="e">
        <f t="shared" si="307"/>
        <v>#REF!</v>
      </c>
    </row>
    <row r="759" spans="1:8" ht="12.75" hidden="1" x14ac:dyDescent="0.2">
      <c r="A759" s="47" t="e">
        <f t="shared" ref="A759:H759" si="308">#REF!</f>
        <v>#REF!</v>
      </c>
      <c r="B759" s="47" t="e">
        <f t="shared" si="308"/>
        <v>#REF!</v>
      </c>
      <c r="C759" s="47" t="e">
        <f t="shared" si="308"/>
        <v>#REF!</v>
      </c>
      <c r="D759" s="47" t="e">
        <f t="shared" si="308"/>
        <v>#REF!</v>
      </c>
      <c r="E759" s="47" t="e">
        <f t="shared" si="308"/>
        <v>#REF!</v>
      </c>
      <c r="F759" s="47" t="e">
        <f t="shared" si="308"/>
        <v>#REF!</v>
      </c>
      <c r="G759" s="47" t="e">
        <f t="shared" si="308"/>
        <v>#REF!</v>
      </c>
      <c r="H759" s="47" t="e">
        <f t="shared" si="308"/>
        <v>#REF!</v>
      </c>
    </row>
    <row r="760" spans="1:8" ht="12.75" hidden="1" x14ac:dyDescent="0.2">
      <c r="A760" s="47" t="e">
        <f t="shared" ref="A760:H760" si="309">#REF!</f>
        <v>#REF!</v>
      </c>
      <c r="B760" s="47" t="e">
        <f t="shared" si="309"/>
        <v>#REF!</v>
      </c>
      <c r="C760" s="47" t="e">
        <f t="shared" si="309"/>
        <v>#REF!</v>
      </c>
      <c r="D760" s="47" t="e">
        <f t="shared" si="309"/>
        <v>#REF!</v>
      </c>
      <c r="E760" s="47" t="e">
        <f t="shared" si="309"/>
        <v>#REF!</v>
      </c>
      <c r="F760" s="47" t="e">
        <f t="shared" si="309"/>
        <v>#REF!</v>
      </c>
      <c r="G760" s="47" t="e">
        <f t="shared" si="309"/>
        <v>#REF!</v>
      </c>
      <c r="H760" s="47" t="e">
        <f t="shared" si="309"/>
        <v>#REF!</v>
      </c>
    </row>
    <row r="761" spans="1:8" ht="12.75" hidden="1" x14ac:dyDescent="0.2">
      <c r="A761" s="47" t="e">
        <f t="shared" ref="A761:H761" si="310">#REF!</f>
        <v>#REF!</v>
      </c>
      <c r="B761" s="47" t="e">
        <f t="shared" si="310"/>
        <v>#REF!</v>
      </c>
      <c r="C761" s="47" t="e">
        <f t="shared" si="310"/>
        <v>#REF!</v>
      </c>
      <c r="D761" s="47" t="e">
        <f t="shared" si="310"/>
        <v>#REF!</v>
      </c>
      <c r="E761" s="47" t="e">
        <f t="shared" si="310"/>
        <v>#REF!</v>
      </c>
      <c r="F761" s="47" t="e">
        <f t="shared" si="310"/>
        <v>#REF!</v>
      </c>
      <c r="G761" s="47" t="e">
        <f t="shared" si="310"/>
        <v>#REF!</v>
      </c>
      <c r="H761" s="47" t="e">
        <f t="shared" si="310"/>
        <v>#REF!</v>
      </c>
    </row>
    <row r="762" spans="1:8" ht="12.75" hidden="1" x14ac:dyDescent="0.2">
      <c r="A762" s="47" t="e">
        <f t="shared" ref="A762:H762" si="311">#REF!</f>
        <v>#REF!</v>
      </c>
      <c r="B762" s="47" t="e">
        <f t="shared" si="311"/>
        <v>#REF!</v>
      </c>
      <c r="C762" s="47" t="e">
        <f t="shared" si="311"/>
        <v>#REF!</v>
      </c>
      <c r="D762" s="47" t="e">
        <f t="shared" si="311"/>
        <v>#REF!</v>
      </c>
      <c r="E762" s="47" t="e">
        <f t="shared" si="311"/>
        <v>#REF!</v>
      </c>
      <c r="F762" s="47" t="e">
        <f t="shared" si="311"/>
        <v>#REF!</v>
      </c>
      <c r="G762" s="47" t="e">
        <f t="shared" si="311"/>
        <v>#REF!</v>
      </c>
      <c r="H762" s="47" t="e">
        <f t="shared" si="311"/>
        <v>#REF!</v>
      </c>
    </row>
    <row r="763" spans="1:8" ht="12.75" hidden="1" x14ac:dyDescent="0.2">
      <c r="A763" s="47" t="e">
        <f t="shared" ref="A763:H763" si="312">#REF!</f>
        <v>#REF!</v>
      </c>
      <c r="B763" s="47" t="e">
        <f t="shared" si="312"/>
        <v>#REF!</v>
      </c>
      <c r="C763" s="47" t="e">
        <f t="shared" si="312"/>
        <v>#REF!</v>
      </c>
      <c r="D763" s="47" t="e">
        <f t="shared" si="312"/>
        <v>#REF!</v>
      </c>
      <c r="E763" s="47" t="e">
        <f t="shared" si="312"/>
        <v>#REF!</v>
      </c>
      <c r="F763" s="47" t="e">
        <f t="shared" si="312"/>
        <v>#REF!</v>
      </c>
      <c r="G763" s="47" t="e">
        <f t="shared" si="312"/>
        <v>#REF!</v>
      </c>
      <c r="H763" s="47" t="e">
        <f t="shared" si="312"/>
        <v>#REF!</v>
      </c>
    </row>
    <row r="764" spans="1:8" ht="12.75" hidden="1" x14ac:dyDescent="0.2">
      <c r="A764" s="47" t="e">
        <f t="shared" ref="A764:H764" si="313">#REF!</f>
        <v>#REF!</v>
      </c>
      <c r="B764" s="47" t="e">
        <f t="shared" si="313"/>
        <v>#REF!</v>
      </c>
      <c r="C764" s="47" t="e">
        <f t="shared" si="313"/>
        <v>#REF!</v>
      </c>
      <c r="D764" s="47" t="e">
        <f t="shared" si="313"/>
        <v>#REF!</v>
      </c>
      <c r="E764" s="47" t="e">
        <f t="shared" si="313"/>
        <v>#REF!</v>
      </c>
      <c r="F764" s="47" t="e">
        <f t="shared" si="313"/>
        <v>#REF!</v>
      </c>
      <c r="G764" s="47" t="e">
        <f t="shared" si="313"/>
        <v>#REF!</v>
      </c>
      <c r="H764" s="47" t="e">
        <f t="shared" si="313"/>
        <v>#REF!</v>
      </c>
    </row>
    <row r="765" spans="1:8" ht="12.75" hidden="1" x14ac:dyDescent="0.2">
      <c r="A765" s="47" t="e">
        <f t="shared" ref="A765:H765" si="314">#REF!</f>
        <v>#REF!</v>
      </c>
      <c r="B765" s="47" t="e">
        <f t="shared" si="314"/>
        <v>#REF!</v>
      </c>
      <c r="C765" s="47" t="e">
        <f t="shared" si="314"/>
        <v>#REF!</v>
      </c>
      <c r="D765" s="47" t="e">
        <f t="shared" si="314"/>
        <v>#REF!</v>
      </c>
      <c r="E765" s="47" t="e">
        <f t="shared" si="314"/>
        <v>#REF!</v>
      </c>
      <c r="F765" s="47" t="e">
        <f t="shared" si="314"/>
        <v>#REF!</v>
      </c>
      <c r="G765" s="47" t="e">
        <f t="shared" si="314"/>
        <v>#REF!</v>
      </c>
      <c r="H765" s="47" t="e">
        <f t="shared" si="314"/>
        <v>#REF!</v>
      </c>
    </row>
    <row r="766" spans="1:8" ht="12.75" hidden="1" x14ac:dyDescent="0.2">
      <c r="A766" s="47" t="e">
        <f t="shared" ref="A766:H766" si="315">#REF!</f>
        <v>#REF!</v>
      </c>
      <c r="B766" s="47" t="e">
        <f t="shared" si="315"/>
        <v>#REF!</v>
      </c>
      <c r="C766" s="47" t="e">
        <f t="shared" si="315"/>
        <v>#REF!</v>
      </c>
      <c r="D766" s="47" t="e">
        <f t="shared" si="315"/>
        <v>#REF!</v>
      </c>
      <c r="E766" s="47" t="e">
        <f t="shared" si="315"/>
        <v>#REF!</v>
      </c>
      <c r="F766" s="47" t="e">
        <f t="shared" si="315"/>
        <v>#REF!</v>
      </c>
      <c r="G766" s="47" t="e">
        <f t="shared" si="315"/>
        <v>#REF!</v>
      </c>
      <c r="H766" s="47" t="e">
        <f t="shared" si="315"/>
        <v>#REF!</v>
      </c>
    </row>
    <row r="767" spans="1:8" ht="12.75" hidden="1" x14ac:dyDescent="0.2">
      <c r="A767" s="47" t="e">
        <f t="shared" ref="A767:H767" si="316">#REF!</f>
        <v>#REF!</v>
      </c>
      <c r="B767" s="47" t="e">
        <f t="shared" si="316"/>
        <v>#REF!</v>
      </c>
      <c r="C767" s="47" t="e">
        <f t="shared" si="316"/>
        <v>#REF!</v>
      </c>
      <c r="D767" s="47" t="e">
        <f t="shared" si="316"/>
        <v>#REF!</v>
      </c>
      <c r="E767" s="47" t="e">
        <f t="shared" si="316"/>
        <v>#REF!</v>
      </c>
      <c r="F767" s="47" t="e">
        <f t="shared" si="316"/>
        <v>#REF!</v>
      </c>
      <c r="G767" s="47" t="e">
        <f t="shared" si="316"/>
        <v>#REF!</v>
      </c>
      <c r="H767" s="47" t="e">
        <f t="shared" si="316"/>
        <v>#REF!</v>
      </c>
    </row>
    <row r="768" spans="1:8" ht="12.75" hidden="1" x14ac:dyDescent="0.2">
      <c r="A768" s="47" t="e">
        <f t="shared" ref="A768:H768" si="317">#REF!</f>
        <v>#REF!</v>
      </c>
      <c r="B768" s="47" t="e">
        <f t="shared" si="317"/>
        <v>#REF!</v>
      </c>
      <c r="C768" s="47" t="e">
        <f t="shared" si="317"/>
        <v>#REF!</v>
      </c>
      <c r="D768" s="47" t="e">
        <f t="shared" si="317"/>
        <v>#REF!</v>
      </c>
      <c r="E768" s="47" t="e">
        <f t="shared" si="317"/>
        <v>#REF!</v>
      </c>
      <c r="F768" s="47" t="e">
        <f t="shared" si="317"/>
        <v>#REF!</v>
      </c>
      <c r="G768" s="47" t="e">
        <f t="shared" si="317"/>
        <v>#REF!</v>
      </c>
      <c r="H768" s="47" t="e">
        <f t="shared" si="317"/>
        <v>#REF!</v>
      </c>
    </row>
    <row r="769" spans="1:8" ht="12.75" hidden="1" x14ac:dyDescent="0.2">
      <c r="A769" s="47" t="e">
        <f t="shared" ref="A769:H769" si="318">#REF!</f>
        <v>#REF!</v>
      </c>
      <c r="B769" s="47" t="e">
        <f t="shared" si="318"/>
        <v>#REF!</v>
      </c>
      <c r="C769" s="47" t="e">
        <f t="shared" si="318"/>
        <v>#REF!</v>
      </c>
      <c r="D769" s="47" t="e">
        <f t="shared" si="318"/>
        <v>#REF!</v>
      </c>
      <c r="E769" s="47" t="e">
        <f t="shared" si="318"/>
        <v>#REF!</v>
      </c>
      <c r="F769" s="47" t="e">
        <f t="shared" si="318"/>
        <v>#REF!</v>
      </c>
      <c r="G769" s="47" t="e">
        <f t="shared" si="318"/>
        <v>#REF!</v>
      </c>
      <c r="H769" s="47" t="e">
        <f t="shared" si="318"/>
        <v>#REF!</v>
      </c>
    </row>
    <row r="770" spans="1:8" ht="12.75" hidden="1" x14ac:dyDescent="0.2">
      <c r="A770" s="47" t="e">
        <f t="shared" ref="A770:H770" si="319">#REF!</f>
        <v>#REF!</v>
      </c>
      <c r="B770" s="47" t="e">
        <f t="shared" si="319"/>
        <v>#REF!</v>
      </c>
      <c r="C770" s="47" t="e">
        <f t="shared" si="319"/>
        <v>#REF!</v>
      </c>
      <c r="D770" s="47" t="e">
        <f t="shared" si="319"/>
        <v>#REF!</v>
      </c>
      <c r="E770" s="47" t="e">
        <f t="shared" si="319"/>
        <v>#REF!</v>
      </c>
      <c r="F770" s="47" t="e">
        <f t="shared" si="319"/>
        <v>#REF!</v>
      </c>
      <c r="G770" s="47" t="e">
        <f t="shared" si="319"/>
        <v>#REF!</v>
      </c>
      <c r="H770" s="47" t="e">
        <f t="shared" si="319"/>
        <v>#REF!</v>
      </c>
    </row>
    <row r="771" spans="1:8" ht="12.75" hidden="1" x14ac:dyDescent="0.2">
      <c r="A771" s="47" t="e">
        <f t="shared" ref="A771:H771" si="320">#REF!</f>
        <v>#REF!</v>
      </c>
      <c r="B771" s="47" t="e">
        <f t="shared" si="320"/>
        <v>#REF!</v>
      </c>
      <c r="C771" s="47" t="e">
        <f t="shared" si="320"/>
        <v>#REF!</v>
      </c>
      <c r="D771" s="47" t="e">
        <f t="shared" si="320"/>
        <v>#REF!</v>
      </c>
      <c r="E771" s="47" t="e">
        <f t="shared" si="320"/>
        <v>#REF!</v>
      </c>
      <c r="F771" s="47" t="e">
        <f t="shared" si="320"/>
        <v>#REF!</v>
      </c>
      <c r="G771" s="47" t="e">
        <f t="shared" si="320"/>
        <v>#REF!</v>
      </c>
      <c r="H771" s="47" t="e">
        <f t="shared" si="320"/>
        <v>#REF!</v>
      </c>
    </row>
    <row r="772" spans="1:8" ht="12.75" hidden="1" x14ac:dyDescent="0.2">
      <c r="A772" s="47" t="e">
        <f t="shared" ref="A772:H772" si="321">#REF!</f>
        <v>#REF!</v>
      </c>
      <c r="B772" s="47" t="e">
        <f t="shared" si="321"/>
        <v>#REF!</v>
      </c>
      <c r="C772" s="47" t="e">
        <f t="shared" si="321"/>
        <v>#REF!</v>
      </c>
      <c r="D772" s="47" t="e">
        <f t="shared" si="321"/>
        <v>#REF!</v>
      </c>
      <c r="E772" s="47" t="e">
        <f t="shared" si="321"/>
        <v>#REF!</v>
      </c>
      <c r="F772" s="47" t="e">
        <f t="shared" si="321"/>
        <v>#REF!</v>
      </c>
      <c r="G772" s="47" t="e">
        <f t="shared" si="321"/>
        <v>#REF!</v>
      </c>
      <c r="H772" s="47" t="e">
        <f t="shared" si="321"/>
        <v>#REF!</v>
      </c>
    </row>
    <row r="773" spans="1:8" ht="12.75" hidden="1" x14ac:dyDescent="0.2">
      <c r="A773" s="47" t="e">
        <f t="shared" ref="A773:H773" si="322">#REF!</f>
        <v>#REF!</v>
      </c>
      <c r="B773" s="47" t="e">
        <f t="shared" si="322"/>
        <v>#REF!</v>
      </c>
      <c r="C773" s="47" t="e">
        <f t="shared" si="322"/>
        <v>#REF!</v>
      </c>
      <c r="D773" s="47" t="e">
        <f t="shared" si="322"/>
        <v>#REF!</v>
      </c>
      <c r="E773" s="47" t="e">
        <f t="shared" si="322"/>
        <v>#REF!</v>
      </c>
      <c r="F773" s="47" t="e">
        <f t="shared" si="322"/>
        <v>#REF!</v>
      </c>
      <c r="G773" s="47" t="e">
        <f t="shared" si="322"/>
        <v>#REF!</v>
      </c>
      <c r="H773" s="47" t="e">
        <f t="shared" si="322"/>
        <v>#REF!</v>
      </c>
    </row>
    <row r="774" spans="1:8" ht="12.75" hidden="1" x14ac:dyDescent="0.2">
      <c r="A774" s="47" t="e">
        <f t="shared" ref="A774:H774" si="323">#REF!</f>
        <v>#REF!</v>
      </c>
      <c r="B774" s="47" t="e">
        <f t="shared" si="323"/>
        <v>#REF!</v>
      </c>
      <c r="C774" s="47" t="e">
        <f t="shared" si="323"/>
        <v>#REF!</v>
      </c>
      <c r="D774" s="47" t="e">
        <f t="shared" si="323"/>
        <v>#REF!</v>
      </c>
      <c r="E774" s="47" t="e">
        <f t="shared" si="323"/>
        <v>#REF!</v>
      </c>
      <c r="F774" s="47" t="e">
        <f t="shared" si="323"/>
        <v>#REF!</v>
      </c>
      <c r="G774" s="47" t="e">
        <f t="shared" si="323"/>
        <v>#REF!</v>
      </c>
      <c r="H774" s="47" t="e">
        <f t="shared" si="323"/>
        <v>#REF!</v>
      </c>
    </row>
    <row r="775" spans="1:8" ht="12.75" hidden="1" x14ac:dyDescent="0.2">
      <c r="A775" s="47" t="e">
        <f t="shared" ref="A775:H775" si="324">#REF!</f>
        <v>#REF!</v>
      </c>
      <c r="B775" s="47" t="e">
        <f t="shared" si="324"/>
        <v>#REF!</v>
      </c>
      <c r="C775" s="47" t="e">
        <f t="shared" si="324"/>
        <v>#REF!</v>
      </c>
      <c r="D775" s="47" t="e">
        <f t="shared" si="324"/>
        <v>#REF!</v>
      </c>
      <c r="E775" s="47" t="e">
        <f t="shared" si="324"/>
        <v>#REF!</v>
      </c>
      <c r="F775" s="47" t="e">
        <f t="shared" si="324"/>
        <v>#REF!</v>
      </c>
      <c r="G775" s="47" t="e">
        <f t="shared" si="324"/>
        <v>#REF!</v>
      </c>
      <c r="H775" s="47" t="e">
        <f t="shared" si="324"/>
        <v>#REF!</v>
      </c>
    </row>
    <row r="776" spans="1:8" ht="12.75" hidden="1" x14ac:dyDescent="0.2">
      <c r="A776" s="47" t="e">
        <f t="shared" ref="A776:H776" si="325">#REF!</f>
        <v>#REF!</v>
      </c>
      <c r="B776" s="47" t="e">
        <f t="shared" si="325"/>
        <v>#REF!</v>
      </c>
      <c r="C776" s="47" t="e">
        <f t="shared" si="325"/>
        <v>#REF!</v>
      </c>
      <c r="D776" s="47" t="e">
        <f t="shared" si="325"/>
        <v>#REF!</v>
      </c>
      <c r="E776" s="47" t="e">
        <f t="shared" si="325"/>
        <v>#REF!</v>
      </c>
      <c r="F776" s="47" t="e">
        <f t="shared" si="325"/>
        <v>#REF!</v>
      </c>
      <c r="G776" s="47" t="e">
        <f t="shared" si="325"/>
        <v>#REF!</v>
      </c>
      <c r="H776" s="47" t="e">
        <f t="shared" si="325"/>
        <v>#REF!</v>
      </c>
    </row>
    <row r="777" spans="1:8" ht="12.75" hidden="1" x14ac:dyDescent="0.2">
      <c r="A777" s="47" t="e">
        <f t="shared" ref="A777:H777" si="326">#REF!</f>
        <v>#REF!</v>
      </c>
      <c r="B777" s="47" t="e">
        <f t="shared" si="326"/>
        <v>#REF!</v>
      </c>
      <c r="C777" s="47" t="e">
        <f t="shared" si="326"/>
        <v>#REF!</v>
      </c>
      <c r="D777" s="47" t="e">
        <f t="shared" si="326"/>
        <v>#REF!</v>
      </c>
      <c r="E777" s="47" t="e">
        <f t="shared" si="326"/>
        <v>#REF!</v>
      </c>
      <c r="F777" s="47" t="e">
        <f t="shared" si="326"/>
        <v>#REF!</v>
      </c>
      <c r="G777" s="47" t="e">
        <f t="shared" si="326"/>
        <v>#REF!</v>
      </c>
      <c r="H777" s="47" t="e">
        <f t="shared" si="326"/>
        <v>#REF!</v>
      </c>
    </row>
    <row r="778" spans="1:8" ht="12.75" hidden="1" x14ac:dyDescent="0.2">
      <c r="A778" s="47" t="e">
        <f t="shared" ref="A778:H778" si="327">#REF!</f>
        <v>#REF!</v>
      </c>
      <c r="B778" s="47" t="e">
        <f t="shared" si="327"/>
        <v>#REF!</v>
      </c>
      <c r="C778" s="47" t="e">
        <f t="shared" si="327"/>
        <v>#REF!</v>
      </c>
      <c r="D778" s="47" t="e">
        <f t="shared" si="327"/>
        <v>#REF!</v>
      </c>
      <c r="E778" s="47" t="e">
        <f t="shared" si="327"/>
        <v>#REF!</v>
      </c>
      <c r="F778" s="47" t="e">
        <f t="shared" si="327"/>
        <v>#REF!</v>
      </c>
      <c r="G778" s="47" t="e">
        <f t="shared" si="327"/>
        <v>#REF!</v>
      </c>
      <c r="H778" s="47" t="e">
        <f t="shared" si="327"/>
        <v>#REF!</v>
      </c>
    </row>
    <row r="779" spans="1:8" ht="12.75" hidden="1" x14ac:dyDescent="0.2">
      <c r="A779" s="47" t="e">
        <f t="shared" ref="A779:H779" si="328">#REF!</f>
        <v>#REF!</v>
      </c>
      <c r="B779" s="47" t="e">
        <f t="shared" si="328"/>
        <v>#REF!</v>
      </c>
      <c r="C779" s="47" t="e">
        <f t="shared" si="328"/>
        <v>#REF!</v>
      </c>
      <c r="D779" s="47" t="e">
        <f t="shared" si="328"/>
        <v>#REF!</v>
      </c>
      <c r="E779" s="47" t="e">
        <f t="shared" si="328"/>
        <v>#REF!</v>
      </c>
      <c r="F779" s="47" t="e">
        <f t="shared" si="328"/>
        <v>#REF!</v>
      </c>
      <c r="G779" s="47" t="e">
        <f t="shared" si="328"/>
        <v>#REF!</v>
      </c>
      <c r="H779" s="47" t="e">
        <f t="shared" si="328"/>
        <v>#REF!</v>
      </c>
    </row>
    <row r="780" spans="1:8" ht="12.75" hidden="1" x14ac:dyDescent="0.2">
      <c r="A780" s="47" t="e">
        <f t="shared" ref="A780:H780" si="329">#REF!</f>
        <v>#REF!</v>
      </c>
      <c r="B780" s="47" t="e">
        <f t="shared" si="329"/>
        <v>#REF!</v>
      </c>
      <c r="C780" s="47" t="e">
        <f t="shared" si="329"/>
        <v>#REF!</v>
      </c>
      <c r="D780" s="47" t="e">
        <f t="shared" si="329"/>
        <v>#REF!</v>
      </c>
      <c r="E780" s="47" t="e">
        <f t="shared" si="329"/>
        <v>#REF!</v>
      </c>
      <c r="F780" s="47" t="e">
        <f t="shared" si="329"/>
        <v>#REF!</v>
      </c>
      <c r="G780" s="47" t="e">
        <f t="shared" si="329"/>
        <v>#REF!</v>
      </c>
      <c r="H780" s="47" t="e">
        <f t="shared" si="329"/>
        <v>#REF!</v>
      </c>
    </row>
    <row r="781" spans="1:8" ht="12.75" hidden="1" x14ac:dyDescent="0.2">
      <c r="A781" s="47" t="e">
        <f t="shared" ref="A781:H781" si="330">#REF!</f>
        <v>#REF!</v>
      </c>
      <c r="B781" s="47" t="e">
        <f t="shared" si="330"/>
        <v>#REF!</v>
      </c>
      <c r="C781" s="47" t="e">
        <f t="shared" si="330"/>
        <v>#REF!</v>
      </c>
      <c r="D781" s="47" t="e">
        <f t="shared" si="330"/>
        <v>#REF!</v>
      </c>
      <c r="E781" s="47" t="e">
        <f t="shared" si="330"/>
        <v>#REF!</v>
      </c>
      <c r="F781" s="47" t="e">
        <f t="shared" si="330"/>
        <v>#REF!</v>
      </c>
      <c r="G781" s="47" t="e">
        <f t="shared" si="330"/>
        <v>#REF!</v>
      </c>
      <c r="H781" s="47" t="e">
        <f t="shared" si="330"/>
        <v>#REF!</v>
      </c>
    </row>
    <row r="782" spans="1:8" ht="12.75" hidden="1" x14ac:dyDescent="0.2">
      <c r="A782" s="47" t="e">
        <f t="shared" ref="A782:H782" si="331">#REF!</f>
        <v>#REF!</v>
      </c>
      <c r="B782" s="47" t="e">
        <f t="shared" si="331"/>
        <v>#REF!</v>
      </c>
      <c r="C782" s="47" t="e">
        <f t="shared" si="331"/>
        <v>#REF!</v>
      </c>
      <c r="D782" s="47" t="e">
        <f t="shared" si="331"/>
        <v>#REF!</v>
      </c>
      <c r="E782" s="47" t="e">
        <f t="shared" si="331"/>
        <v>#REF!</v>
      </c>
      <c r="F782" s="47" t="e">
        <f t="shared" si="331"/>
        <v>#REF!</v>
      </c>
      <c r="G782" s="47" t="e">
        <f t="shared" si="331"/>
        <v>#REF!</v>
      </c>
      <c r="H782" s="47" t="e">
        <f t="shared" si="331"/>
        <v>#REF!</v>
      </c>
    </row>
    <row r="783" spans="1:8" ht="12.75" hidden="1" x14ac:dyDescent="0.2">
      <c r="A783" s="47" t="e">
        <f t="shared" ref="A783:H783" si="332">#REF!</f>
        <v>#REF!</v>
      </c>
      <c r="B783" s="47" t="e">
        <f t="shared" si="332"/>
        <v>#REF!</v>
      </c>
      <c r="C783" s="47" t="e">
        <f t="shared" si="332"/>
        <v>#REF!</v>
      </c>
      <c r="D783" s="47" t="e">
        <f t="shared" si="332"/>
        <v>#REF!</v>
      </c>
      <c r="E783" s="47" t="e">
        <f t="shared" si="332"/>
        <v>#REF!</v>
      </c>
      <c r="F783" s="47" t="e">
        <f t="shared" si="332"/>
        <v>#REF!</v>
      </c>
      <c r="G783" s="47" t="e">
        <f t="shared" si="332"/>
        <v>#REF!</v>
      </c>
      <c r="H783" s="47" t="e">
        <f t="shared" si="332"/>
        <v>#REF!</v>
      </c>
    </row>
    <row r="784" spans="1:8" ht="12.75" hidden="1" x14ac:dyDescent="0.2">
      <c r="A784" s="47" t="e">
        <f t="shared" ref="A784:H784" si="333">#REF!</f>
        <v>#REF!</v>
      </c>
      <c r="B784" s="47" t="e">
        <f t="shared" si="333"/>
        <v>#REF!</v>
      </c>
      <c r="C784" s="47" t="e">
        <f t="shared" si="333"/>
        <v>#REF!</v>
      </c>
      <c r="D784" s="47" t="e">
        <f t="shared" si="333"/>
        <v>#REF!</v>
      </c>
      <c r="E784" s="47" t="e">
        <f t="shared" si="333"/>
        <v>#REF!</v>
      </c>
      <c r="F784" s="47" t="e">
        <f t="shared" si="333"/>
        <v>#REF!</v>
      </c>
      <c r="G784" s="47" t="e">
        <f t="shared" si="333"/>
        <v>#REF!</v>
      </c>
      <c r="H784" s="47" t="e">
        <f t="shared" si="333"/>
        <v>#REF!</v>
      </c>
    </row>
    <row r="785" spans="1:8" ht="12.75" hidden="1" x14ac:dyDescent="0.2">
      <c r="A785" s="47" t="e">
        <f t="shared" ref="A785:H785" si="334">#REF!</f>
        <v>#REF!</v>
      </c>
      <c r="B785" s="47" t="e">
        <f t="shared" si="334"/>
        <v>#REF!</v>
      </c>
      <c r="C785" s="47" t="e">
        <f t="shared" si="334"/>
        <v>#REF!</v>
      </c>
      <c r="D785" s="47" t="e">
        <f t="shared" si="334"/>
        <v>#REF!</v>
      </c>
      <c r="E785" s="47" t="e">
        <f t="shared" si="334"/>
        <v>#REF!</v>
      </c>
      <c r="F785" s="47" t="e">
        <f t="shared" si="334"/>
        <v>#REF!</v>
      </c>
      <c r="G785" s="47" t="e">
        <f t="shared" si="334"/>
        <v>#REF!</v>
      </c>
      <c r="H785" s="47" t="e">
        <f t="shared" si="334"/>
        <v>#REF!</v>
      </c>
    </row>
    <row r="786" spans="1:8" ht="12.75" hidden="1" x14ac:dyDescent="0.2">
      <c r="A786" s="47" t="e">
        <f t="shared" ref="A786:H786" si="335">#REF!</f>
        <v>#REF!</v>
      </c>
      <c r="B786" s="47" t="e">
        <f t="shared" si="335"/>
        <v>#REF!</v>
      </c>
      <c r="C786" s="47" t="e">
        <f t="shared" si="335"/>
        <v>#REF!</v>
      </c>
      <c r="D786" s="47" t="e">
        <f t="shared" si="335"/>
        <v>#REF!</v>
      </c>
      <c r="E786" s="47" t="e">
        <f t="shared" si="335"/>
        <v>#REF!</v>
      </c>
      <c r="F786" s="47" t="e">
        <f t="shared" si="335"/>
        <v>#REF!</v>
      </c>
      <c r="G786" s="47" t="e">
        <f t="shared" si="335"/>
        <v>#REF!</v>
      </c>
      <c r="H786" s="47" t="e">
        <f t="shared" si="335"/>
        <v>#REF!</v>
      </c>
    </row>
    <row r="787" spans="1:8" ht="12.75" hidden="1" x14ac:dyDescent="0.2">
      <c r="A787" s="47" t="e">
        <f t="shared" ref="A787:H787" si="336">#REF!</f>
        <v>#REF!</v>
      </c>
      <c r="B787" s="47" t="e">
        <f t="shared" si="336"/>
        <v>#REF!</v>
      </c>
      <c r="C787" s="47" t="e">
        <f t="shared" si="336"/>
        <v>#REF!</v>
      </c>
      <c r="D787" s="47" t="e">
        <f t="shared" si="336"/>
        <v>#REF!</v>
      </c>
      <c r="E787" s="47" t="e">
        <f t="shared" si="336"/>
        <v>#REF!</v>
      </c>
      <c r="F787" s="47" t="e">
        <f t="shared" si="336"/>
        <v>#REF!</v>
      </c>
      <c r="G787" s="47" t="e">
        <f t="shared" si="336"/>
        <v>#REF!</v>
      </c>
      <c r="H787" s="47" t="e">
        <f t="shared" si="336"/>
        <v>#REF!</v>
      </c>
    </row>
    <row r="788" spans="1:8" ht="12.75" hidden="1" x14ac:dyDescent="0.2">
      <c r="A788" s="47" t="e">
        <f t="shared" ref="A788:H788" si="337">#REF!</f>
        <v>#REF!</v>
      </c>
      <c r="B788" s="47" t="e">
        <f t="shared" si="337"/>
        <v>#REF!</v>
      </c>
      <c r="C788" s="47" t="e">
        <f t="shared" si="337"/>
        <v>#REF!</v>
      </c>
      <c r="D788" s="47" t="e">
        <f t="shared" si="337"/>
        <v>#REF!</v>
      </c>
      <c r="E788" s="47" t="e">
        <f t="shared" si="337"/>
        <v>#REF!</v>
      </c>
      <c r="F788" s="47" t="e">
        <f t="shared" si="337"/>
        <v>#REF!</v>
      </c>
      <c r="G788" s="47" t="e">
        <f t="shared" si="337"/>
        <v>#REF!</v>
      </c>
      <c r="H788" s="47" t="e">
        <f t="shared" si="337"/>
        <v>#REF!</v>
      </c>
    </row>
    <row r="789" spans="1:8" ht="12.75" hidden="1" x14ac:dyDescent="0.2">
      <c r="A789" s="47" t="e">
        <f t="shared" ref="A789:H789" si="338">#REF!</f>
        <v>#REF!</v>
      </c>
      <c r="B789" s="47" t="e">
        <f t="shared" si="338"/>
        <v>#REF!</v>
      </c>
      <c r="C789" s="47" t="e">
        <f t="shared" si="338"/>
        <v>#REF!</v>
      </c>
      <c r="D789" s="47" t="e">
        <f t="shared" si="338"/>
        <v>#REF!</v>
      </c>
      <c r="E789" s="47" t="e">
        <f t="shared" si="338"/>
        <v>#REF!</v>
      </c>
      <c r="F789" s="47" t="e">
        <f t="shared" si="338"/>
        <v>#REF!</v>
      </c>
      <c r="G789" s="47" t="e">
        <f t="shared" si="338"/>
        <v>#REF!</v>
      </c>
      <c r="H789" s="47" t="e">
        <f t="shared" si="338"/>
        <v>#REF!</v>
      </c>
    </row>
    <row r="790" spans="1:8" ht="12.75" hidden="1" x14ac:dyDescent="0.2">
      <c r="A790" s="47" t="e">
        <f t="shared" ref="A790:H790" si="339">#REF!</f>
        <v>#REF!</v>
      </c>
      <c r="B790" s="47" t="e">
        <f t="shared" si="339"/>
        <v>#REF!</v>
      </c>
      <c r="C790" s="47" t="e">
        <f t="shared" si="339"/>
        <v>#REF!</v>
      </c>
      <c r="D790" s="47" t="e">
        <f t="shared" si="339"/>
        <v>#REF!</v>
      </c>
      <c r="E790" s="47" t="e">
        <f t="shared" si="339"/>
        <v>#REF!</v>
      </c>
      <c r="F790" s="47" t="e">
        <f t="shared" si="339"/>
        <v>#REF!</v>
      </c>
      <c r="G790" s="47" t="e">
        <f t="shared" si="339"/>
        <v>#REF!</v>
      </c>
      <c r="H790" s="47" t="e">
        <f t="shared" si="339"/>
        <v>#REF!</v>
      </c>
    </row>
    <row r="791" spans="1:8" ht="12.75" hidden="1" x14ac:dyDescent="0.2">
      <c r="A791" s="47" t="e">
        <f t="shared" ref="A791:H791" si="340">#REF!</f>
        <v>#REF!</v>
      </c>
      <c r="B791" s="47" t="e">
        <f t="shared" si="340"/>
        <v>#REF!</v>
      </c>
      <c r="C791" s="47" t="e">
        <f t="shared" si="340"/>
        <v>#REF!</v>
      </c>
      <c r="D791" s="47" t="e">
        <f t="shared" si="340"/>
        <v>#REF!</v>
      </c>
      <c r="E791" s="47" t="e">
        <f t="shared" si="340"/>
        <v>#REF!</v>
      </c>
      <c r="F791" s="47" t="e">
        <f t="shared" si="340"/>
        <v>#REF!</v>
      </c>
      <c r="G791" s="47" t="e">
        <f t="shared" si="340"/>
        <v>#REF!</v>
      </c>
      <c r="H791" s="47" t="e">
        <f t="shared" si="340"/>
        <v>#REF!</v>
      </c>
    </row>
    <row r="792" spans="1:8" ht="12.75" hidden="1" x14ac:dyDescent="0.2">
      <c r="A792" s="47" t="e">
        <f t="shared" ref="A792:H792" si="341">#REF!</f>
        <v>#REF!</v>
      </c>
      <c r="B792" s="47" t="e">
        <f t="shared" si="341"/>
        <v>#REF!</v>
      </c>
      <c r="C792" s="47" t="e">
        <f t="shared" si="341"/>
        <v>#REF!</v>
      </c>
      <c r="D792" s="47" t="e">
        <f t="shared" si="341"/>
        <v>#REF!</v>
      </c>
      <c r="E792" s="47" t="e">
        <f t="shared" si="341"/>
        <v>#REF!</v>
      </c>
      <c r="F792" s="47" t="e">
        <f t="shared" si="341"/>
        <v>#REF!</v>
      </c>
      <c r="G792" s="47" t="e">
        <f t="shared" si="341"/>
        <v>#REF!</v>
      </c>
      <c r="H792" s="47" t="e">
        <f t="shared" si="341"/>
        <v>#REF!</v>
      </c>
    </row>
    <row r="793" spans="1:8" ht="12.75" hidden="1" x14ac:dyDescent="0.2">
      <c r="A793" s="47" t="e">
        <f t="shared" ref="A793:H793" si="342">#REF!</f>
        <v>#REF!</v>
      </c>
      <c r="B793" s="47" t="e">
        <f t="shared" si="342"/>
        <v>#REF!</v>
      </c>
      <c r="C793" s="47" t="e">
        <f t="shared" si="342"/>
        <v>#REF!</v>
      </c>
      <c r="D793" s="47" t="e">
        <f t="shared" si="342"/>
        <v>#REF!</v>
      </c>
      <c r="E793" s="47" t="e">
        <f t="shared" si="342"/>
        <v>#REF!</v>
      </c>
      <c r="F793" s="47" t="e">
        <f t="shared" si="342"/>
        <v>#REF!</v>
      </c>
      <c r="G793" s="47" t="e">
        <f t="shared" si="342"/>
        <v>#REF!</v>
      </c>
      <c r="H793" s="47" t="e">
        <f t="shared" si="342"/>
        <v>#REF!</v>
      </c>
    </row>
    <row r="794" spans="1:8" ht="12.75" hidden="1" x14ac:dyDescent="0.2">
      <c r="A794" s="47" t="e">
        <f t="shared" ref="A794:H794" si="343">#REF!</f>
        <v>#REF!</v>
      </c>
      <c r="B794" s="47" t="e">
        <f t="shared" si="343"/>
        <v>#REF!</v>
      </c>
      <c r="C794" s="47" t="e">
        <f t="shared" si="343"/>
        <v>#REF!</v>
      </c>
      <c r="D794" s="47" t="e">
        <f t="shared" si="343"/>
        <v>#REF!</v>
      </c>
      <c r="E794" s="47" t="e">
        <f t="shared" si="343"/>
        <v>#REF!</v>
      </c>
      <c r="F794" s="47" t="e">
        <f t="shared" si="343"/>
        <v>#REF!</v>
      </c>
      <c r="G794" s="47" t="e">
        <f t="shared" si="343"/>
        <v>#REF!</v>
      </c>
      <c r="H794" s="47" t="e">
        <f t="shared" si="343"/>
        <v>#REF!</v>
      </c>
    </row>
    <row r="795" spans="1:8" ht="12.75" hidden="1" x14ac:dyDescent="0.2">
      <c r="A795" s="47" t="e">
        <f t="shared" ref="A795:H795" si="344">#REF!</f>
        <v>#REF!</v>
      </c>
      <c r="B795" s="47" t="e">
        <f t="shared" si="344"/>
        <v>#REF!</v>
      </c>
      <c r="C795" s="47" t="e">
        <f t="shared" si="344"/>
        <v>#REF!</v>
      </c>
      <c r="D795" s="47" t="e">
        <f t="shared" si="344"/>
        <v>#REF!</v>
      </c>
      <c r="E795" s="47" t="e">
        <f t="shared" si="344"/>
        <v>#REF!</v>
      </c>
      <c r="F795" s="47" t="e">
        <f t="shared" si="344"/>
        <v>#REF!</v>
      </c>
      <c r="G795" s="47" t="e">
        <f t="shared" si="344"/>
        <v>#REF!</v>
      </c>
      <c r="H795" s="47" t="e">
        <f t="shared" si="344"/>
        <v>#REF!</v>
      </c>
    </row>
    <row r="796" spans="1:8" ht="12.75" hidden="1" x14ac:dyDescent="0.2">
      <c r="A796" s="47" t="e">
        <f t="shared" ref="A796:H796" si="345">#REF!</f>
        <v>#REF!</v>
      </c>
      <c r="B796" s="47" t="e">
        <f t="shared" si="345"/>
        <v>#REF!</v>
      </c>
      <c r="C796" s="47" t="e">
        <f t="shared" si="345"/>
        <v>#REF!</v>
      </c>
      <c r="D796" s="47" t="e">
        <f t="shared" si="345"/>
        <v>#REF!</v>
      </c>
      <c r="E796" s="47" t="e">
        <f t="shared" si="345"/>
        <v>#REF!</v>
      </c>
      <c r="F796" s="47" t="e">
        <f t="shared" si="345"/>
        <v>#REF!</v>
      </c>
      <c r="G796" s="47" t="e">
        <f t="shared" si="345"/>
        <v>#REF!</v>
      </c>
      <c r="H796" s="47" t="e">
        <f t="shared" si="345"/>
        <v>#REF!</v>
      </c>
    </row>
    <row r="797" spans="1:8" ht="12.75" hidden="1" x14ac:dyDescent="0.2">
      <c r="A797" s="47" t="e">
        <f t="shared" ref="A797:H797" si="346">#REF!</f>
        <v>#REF!</v>
      </c>
      <c r="B797" s="47" t="e">
        <f t="shared" si="346"/>
        <v>#REF!</v>
      </c>
      <c r="C797" s="47" t="e">
        <f t="shared" si="346"/>
        <v>#REF!</v>
      </c>
      <c r="D797" s="47" t="e">
        <f t="shared" si="346"/>
        <v>#REF!</v>
      </c>
      <c r="E797" s="47" t="e">
        <f t="shared" si="346"/>
        <v>#REF!</v>
      </c>
      <c r="F797" s="47" t="e">
        <f t="shared" si="346"/>
        <v>#REF!</v>
      </c>
      <c r="G797" s="47" t="e">
        <f t="shared" si="346"/>
        <v>#REF!</v>
      </c>
      <c r="H797" s="47" t="e">
        <f t="shared" si="346"/>
        <v>#REF!</v>
      </c>
    </row>
    <row r="798" spans="1:8" ht="12.75" hidden="1" x14ac:dyDescent="0.2">
      <c r="A798" s="47" t="e">
        <f t="shared" ref="A798:H798" si="347">#REF!</f>
        <v>#REF!</v>
      </c>
      <c r="B798" s="47" t="e">
        <f t="shared" si="347"/>
        <v>#REF!</v>
      </c>
      <c r="C798" s="47" t="e">
        <f t="shared" si="347"/>
        <v>#REF!</v>
      </c>
      <c r="D798" s="47" t="e">
        <f t="shared" si="347"/>
        <v>#REF!</v>
      </c>
      <c r="E798" s="47" t="e">
        <f t="shared" si="347"/>
        <v>#REF!</v>
      </c>
      <c r="F798" s="47" t="e">
        <f t="shared" si="347"/>
        <v>#REF!</v>
      </c>
      <c r="G798" s="47" t="e">
        <f t="shared" si="347"/>
        <v>#REF!</v>
      </c>
      <c r="H798" s="47" t="e">
        <f t="shared" si="347"/>
        <v>#REF!</v>
      </c>
    </row>
    <row r="799" spans="1:8" ht="12.75" hidden="1" x14ac:dyDescent="0.2">
      <c r="A799" s="47" t="e">
        <f t="shared" ref="A799:H799" si="348">#REF!</f>
        <v>#REF!</v>
      </c>
      <c r="B799" s="47" t="e">
        <f t="shared" si="348"/>
        <v>#REF!</v>
      </c>
      <c r="C799" s="47" t="e">
        <f t="shared" si="348"/>
        <v>#REF!</v>
      </c>
      <c r="D799" s="47" t="e">
        <f t="shared" si="348"/>
        <v>#REF!</v>
      </c>
      <c r="E799" s="47" t="e">
        <f t="shared" si="348"/>
        <v>#REF!</v>
      </c>
      <c r="F799" s="47" t="e">
        <f t="shared" si="348"/>
        <v>#REF!</v>
      </c>
      <c r="G799" s="47" t="e">
        <f t="shared" si="348"/>
        <v>#REF!</v>
      </c>
      <c r="H799" s="47" t="e">
        <f t="shared" si="348"/>
        <v>#REF!</v>
      </c>
    </row>
    <row r="800" spans="1:8" ht="12.75" hidden="1" x14ac:dyDescent="0.2">
      <c r="A800" s="47" t="e">
        <f t="shared" ref="A800:H800" si="349">#REF!</f>
        <v>#REF!</v>
      </c>
      <c r="B800" s="47" t="e">
        <f t="shared" si="349"/>
        <v>#REF!</v>
      </c>
      <c r="C800" s="47" t="e">
        <f t="shared" si="349"/>
        <v>#REF!</v>
      </c>
      <c r="D800" s="47" t="e">
        <f t="shared" si="349"/>
        <v>#REF!</v>
      </c>
      <c r="E800" s="47" t="e">
        <f t="shared" si="349"/>
        <v>#REF!</v>
      </c>
      <c r="F800" s="47" t="e">
        <f t="shared" si="349"/>
        <v>#REF!</v>
      </c>
      <c r="G800" s="47" t="e">
        <f t="shared" si="349"/>
        <v>#REF!</v>
      </c>
      <c r="H800" s="47" t="e">
        <f t="shared" si="349"/>
        <v>#REF!</v>
      </c>
    </row>
    <row r="801" spans="1:8" ht="12.75" hidden="1" x14ac:dyDescent="0.2">
      <c r="A801" s="47" t="e">
        <f t="shared" ref="A801:H801" si="350">#REF!</f>
        <v>#REF!</v>
      </c>
      <c r="B801" s="47" t="e">
        <f t="shared" si="350"/>
        <v>#REF!</v>
      </c>
      <c r="C801" s="47" t="e">
        <f t="shared" si="350"/>
        <v>#REF!</v>
      </c>
      <c r="D801" s="47" t="e">
        <f t="shared" si="350"/>
        <v>#REF!</v>
      </c>
      <c r="E801" s="47" t="e">
        <f t="shared" si="350"/>
        <v>#REF!</v>
      </c>
      <c r="F801" s="47" t="e">
        <f t="shared" si="350"/>
        <v>#REF!</v>
      </c>
      <c r="G801" s="47" t="e">
        <f t="shared" si="350"/>
        <v>#REF!</v>
      </c>
      <c r="H801" s="47" t="e">
        <f t="shared" si="350"/>
        <v>#REF!</v>
      </c>
    </row>
    <row r="802" spans="1:8" ht="12.75" hidden="1" x14ac:dyDescent="0.2">
      <c r="A802" s="47" t="e">
        <f t="shared" ref="A802:H802" si="351">#REF!</f>
        <v>#REF!</v>
      </c>
      <c r="B802" s="47" t="e">
        <f t="shared" si="351"/>
        <v>#REF!</v>
      </c>
      <c r="C802" s="47" t="e">
        <f t="shared" si="351"/>
        <v>#REF!</v>
      </c>
      <c r="D802" s="47" t="e">
        <f t="shared" si="351"/>
        <v>#REF!</v>
      </c>
      <c r="E802" s="47" t="e">
        <f t="shared" si="351"/>
        <v>#REF!</v>
      </c>
      <c r="F802" s="47" t="e">
        <f t="shared" si="351"/>
        <v>#REF!</v>
      </c>
      <c r="G802" s="47" t="e">
        <f t="shared" si="351"/>
        <v>#REF!</v>
      </c>
      <c r="H802" s="47" t="e">
        <f t="shared" si="351"/>
        <v>#REF!</v>
      </c>
    </row>
    <row r="803" spans="1:8" ht="12.75" hidden="1" x14ac:dyDescent="0.2">
      <c r="A803" s="47" t="e">
        <f t="shared" ref="A803:H803" si="352">#REF!</f>
        <v>#REF!</v>
      </c>
      <c r="B803" s="47" t="e">
        <f t="shared" si="352"/>
        <v>#REF!</v>
      </c>
      <c r="C803" s="47" t="e">
        <f t="shared" si="352"/>
        <v>#REF!</v>
      </c>
      <c r="D803" s="47" t="e">
        <f t="shared" si="352"/>
        <v>#REF!</v>
      </c>
      <c r="E803" s="47" t="e">
        <f t="shared" si="352"/>
        <v>#REF!</v>
      </c>
      <c r="F803" s="47" t="e">
        <f t="shared" si="352"/>
        <v>#REF!</v>
      </c>
      <c r="G803" s="47" t="e">
        <f t="shared" si="352"/>
        <v>#REF!</v>
      </c>
      <c r="H803" s="47" t="e">
        <f t="shared" si="352"/>
        <v>#REF!</v>
      </c>
    </row>
    <row r="804" spans="1:8" ht="12.75" hidden="1" x14ac:dyDescent="0.2">
      <c r="A804" s="47" t="e">
        <f t="shared" ref="A804:H804" si="353">#REF!</f>
        <v>#REF!</v>
      </c>
      <c r="B804" s="47" t="e">
        <f t="shared" si="353"/>
        <v>#REF!</v>
      </c>
      <c r="C804" s="47" t="e">
        <f t="shared" si="353"/>
        <v>#REF!</v>
      </c>
      <c r="D804" s="47" t="e">
        <f t="shared" si="353"/>
        <v>#REF!</v>
      </c>
      <c r="E804" s="47" t="e">
        <f t="shared" si="353"/>
        <v>#REF!</v>
      </c>
      <c r="F804" s="47" t="e">
        <f t="shared" si="353"/>
        <v>#REF!</v>
      </c>
      <c r="G804" s="47" t="e">
        <f t="shared" si="353"/>
        <v>#REF!</v>
      </c>
      <c r="H804" s="47" t="e">
        <f t="shared" si="353"/>
        <v>#REF!</v>
      </c>
    </row>
    <row r="805" spans="1:8" ht="12.75" hidden="1" x14ac:dyDescent="0.2">
      <c r="A805" s="47" t="e">
        <f t="shared" ref="A805:H805" si="354">#REF!</f>
        <v>#REF!</v>
      </c>
      <c r="B805" s="47" t="e">
        <f t="shared" si="354"/>
        <v>#REF!</v>
      </c>
      <c r="C805" s="47" t="e">
        <f t="shared" si="354"/>
        <v>#REF!</v>
      </c>
      <c r="D805" s="47" t="e">
        <f t="shared" si="354"/>
        <v>#REF!</v>
      </c>
      <c r="E805" s="47" t="e">
        <f t="shared" si="354"/>
        <v>#REF!</v>
      </c>
      <c r="F805" s="47" t="e">
        <f t="shared" si="354"/>
        <v>#REF!</v>
      </c>
      <c r="G805" s="47" t="e">
        <f t="shared" si="354"/>
        <v>#REF!</v>
      </c>
      <c r="H805" s="47" t="e">
        <f t="shared" si="354"/>
        <v>#REF!</v>
      </c>
    </row>
    <row r="806" spans="1:8" ht="12.75" hidden="1" x14ac:dyDescent="0.2">
      <c r="A806" s="47" t="e">
        <f t="shared" ref="A806:H806" si="355">#REF!</f>
        <v>#REF!</v>
      </c>
      <c r="B806" s="47" t="e">
        <f t="shared" si="355"/>
        <v>#REF!</v>
      </c>
      <c r="C806" s="47" t="e">
        <f t="shared" si="355"/>
        <v>#REF!</v>
      </c>
      <c r="D806" s="47" t="e">
        <f t="shared" si="355"/>
        <v>#REF!</v>
      </c>
      <c r="E806" s="47" t="e">
        <f t="shared" si="355"/>
        <v>#REF!</v>
      </c>
      <c r="F806" s="47" t="e">
        <f t="shared" si="355"/>
        <v>#REF!</v>
      </c>
      <c r="G806" s="47" t="e">
        <f t="shared" si="355"/>
        <v>#REF!</v>
      </c>
      <c r="H806" s="47" t="e">
        <f t="shared" si="355"/>
        <v>#REF!</v>
      </c>
    </row>
    <row r="807" spans="1:8" ht="12.75" hidden="1" x14ac:dyDescent="0.2">
      <c r="A807" s="47" t="e">
        <f t="shared" ref="A807:H807" si="356">#REF!</f>
        <v>#REF!</v>
      </c>
      <c r="B807" s="47" t="e">
        <f t="shared" si="356"/>
        <v>#REF!</v>
      </c>
      <c r="C807" s="47" t="e">
        <f t="shared" si="356"/>
        <v>#REF!</v>
      </c>
      <c r="D807" s="47" t="e">
        <f t="shared" si="356"/>
        <v>#REF!</v>
      </c>
      <c r="E807" s="47" t="e">
        <f t="shared" si="356"/>
        <v>#REF!</v>
      </c>
      <c r="F807" s="47" t="e">
        <f t="shared" si="356"/>
        <v>#REF!</v>
      </c>
      <c r="G807" s="47" t="e">
        <f t="shared" si="356"/>
        <v>#REF!</v>
      </c>
      <c r="H807" s="47" t="e">
        <f t="shared" si="356"/>
        <v>#REF!</v>
      </c>
    </row>
    <row r="808" spans="1:8" ht="12.75" hidden="1" x14ac:dyDescent="0.2">
      <c r="A808" s="47" t="e">
        <f t="shared" ref="A808:H808" si="357">#REF!</f>
        <v>#REF!</v>
      </c>
      <c r="B808" s="47" t="e">
        <f t="shared" si="357"/>
        <v>#REF!</v>
      </c>
      <c r="C808" s="47" t="e">
        <f t="shared" si="357"/>
        <v>#REF!</v>
      </c>
      <c r="D808" s="47" t="e">
        <f t="shared" si="357"/>
        <v>#REF!</v>
      </c>
      <c r="E808" s="47" t="e">
        <f t="shared" si="357"/>
        <v>#REF!</v>
      </c>
      <c r="F808" s="47" t="e">
        <f t="shared" si="357"/>
        <v>#REF!</v>
      </c>
      <c r="G808" s="47" t="e">
        <f t="shared" si="357"/>
        <v>#REF!</v>
      </c>
      <c r="H808" s="47" t="e">
        <f t="shared" si="357"/>
        <v>#REF!</v>
      </c>
    </row>
    <row r="809" spans="1:8" ht="12.75" hidden="1" x14ac:dyDescent="0.2">
      <c r="A809" s="47" t="e">
        <f t="shared" ref="A809:H809" si="358">#REF!</f>
        <v>#REF!</v>
      </c>
      <c r="B809" s="47" t="e">
        <f t="shared" si="358"/>
        <v>#REF!</v>
      </c>
      <c r="C809" s="47" t="e">
        <f t="shared" si="358"/>
        <v>#REF!</v>
      </c>
      <c r="D809" s="47" t="e">
        <f t="shared" si="358"/>
        <v>#REF!</v>
      </c>
      <c r="E809" s="47" t="e">
        <f t="shared" si="358"/>
        <v>#REF!</v>
      </c>
      <c r="F809" s="47" t="e">
        <f t="shared" si="358"/>
        <v>#REF!</v>
      </c>
      <c r="G809" s="47" t="e">
        <f t="shared" si="358"/>
        <v>#REF!</v>
      </c>
      <c r="H809" s="47" t="e">
        <f t="shared" si="358"/>
        <v>#REF!</v>
      </c>
    </row>
    <row r="810" spans="1:8" ht="12.75" hidden="1" x14ac:dyDescent="0.2">
      <c r="A810" s="47" t="e">
        <f t="shared" ref="A810:H810" si="359">#REF!</f>
        <v>#REF!</v>
      </c>
      <c r="B810" s="47" t="e">
        <f t="shared" si="359"/>
        <v>#REF!</v>
      </c>
      <c r="C810" s="47" t="e">
        <f t="shared" si="359"/>
        <v>#REF!</v>
      </c>
      <c r="D810" s="47" t="e">
        <f t="shared" si="359"/>
        <v>#REF!</v>
      </c>
      <c r="E810" s="47" t="e">
        <f t="shared" si="359"/>
        <v>#REF!</v>
      </c>
      <c r="F810" s="47" t="e">
        <f t="shared" si="359"/>
        <v>#REF!</v>
      </c>
      <c r="G810" s="47" t="e">
        <f t="shared" si="359"/>
        <v>#REF!</v>
      </c>
      <c r="H810" s="47" t="e">
        <f t="shared" si="359"/>
        <v>#REF!</v>
      </c>
    </row>
    <row r="811" spans="1:8" ht="12.75" hidden="1" x14ac:dyDescent="0.2">
      <c r="A811" s="47" t="e">
        <f t="shared" ref="A811:H811" si="360">#REF!</f>
        <v>#REF!</v>
      </c>
      <c r="B811" s="47" t="e">
        <f t="shared" si="360"/>
        <v>#REF!</v>
      </c>
      <c r="C811" s="47" t="e">
        <f t="shared" si="360"/>
        <v>#REF!</v>
      </c>
      <c r="D811" s="47" t="e">
        <f t="shared" si="360"/>
        <v>#REF!</v>
      </c>
      <c r="E811" s="47" t="e">
        <f t="shared" si="360"/>
        <v>#REF!</v>
      </c>
      <c r="F811" s="47" t="e">
        <f t="shared" si="360"/>
        <v>#REF!</v>
      </c>
      <c r="G811" s="47" t="e">
        <f t="shared" si="360"/>
        <v>#REF!</v>
      </c>
      <c r="H811" s="47" t="e">
        <f t="shared" si="360"/>
        <v>#REF!</v>
      </c>
    </row>
    <row r="812" spans="1:8" ht="12.75" hidden="1" x14ac:dyDescent="0.2">
      <c r="A812" s="47" t="e">
        <f t="shared" ref="A812:H812" si="361">#REF!</f>
        <v>#REF!</v>
      </c>
      <c r="B812" s="47" t="e">
        <f t="shared" si="361"/>
        <v>#REF!</v>
      </c>
      <c r="C812" s="47" t="e">
        <f t="shared" si="361"/>
        <v>#REF!</v>
      </c>
      <c r="D812" s="47" t="e">
        <f t="shared" si="361"/>
        <v>#REF!</v>
      </c>
      <c r="E812" s="47" t="e">
        <f t="shared" si="361"/>
        <v>#REF!</v>
      </c>
      <c r="F812" s="47" t="e">
        <f t="shared" si="361"/>
        <v>#REF!</v>
      </c>
      <c r="G812" s="47" t="e">
        <f t="shared" si="361"/>
        <v>#REF!</v>
      </c>
      <c r="H812" s="47" t="e">
        <f t="shared" si="361"/>
        <v>#REF!</v>
      </c>
    </row>
    <row r="813" spans="1:8" ht="12.75" hidden="1" x14ac:dyDescent="0.2">
      <c r="A813" s="47" t="e">
        <f t="shared" ref="A813:H813" si="362">#REF!</f>
        <v>#REF!</v>
      </c>
      <c r="B813" s="47" t="e">
        <f t="shared" si="362"/>
        <v>#REF!</v>
      </c>
      <c r="C813" s="47" t="e">
        <f t="shared" si="362"/>
        <v>#REF!</v>
      </c>
      <c r="D813" s="47" t="e">
        <f t="shared" si="362"/>
        <v>#REF!</v>
      </c>
      <c r="E813" s="47" t="e">
        <f t="shared" si="362"/>
        <v>#REF!</v>
      </c>
      <c r="F813" s="47" t="e">
        <f t="shared" si="362"/>
        <v>#REF!</v>
      </c>
      <c r="G813" s="47" t="e">
        <f t="shared" si="362"/>
        <v>#REF!</v>
      </c>
      <c r="H813" s="47" t="e">
        <f t="shared" si="362"/>
        <v>#REF!</v>
      </c>
    </row>
    <row r="814" spans="1:8" ht="12.75" hidden="1" x14ac:dyDescent="0.2">
      <c r="A814" s="47" t="e">
        <f t="shared" ref="A814:H814" si="363">#REF!</f>
        <v>#REF!</v>
      </c>
      <c r="B814" s="47" t="e">
        <f t="shared" si="363"/>
        <v>#REF!</v>
      </c>
      <c r="C814" s="47" t="e">
        <f t="shared" si="363"/>
        <v>#REF!</v>
      </c>
      <c r="D814" s="47" t="e">
        <f t="shared" si="363"/>
        <v>#REF!</v>
      </c>
      <c r="E814" s="47" t="e">
        <f t="shared" si="363"/>
        <v>#REF!</v>
      </c>
      <c r="F814" s="47" t="e">
        <f t="shared" si="363"/>
        <v>#REF!</v>
      </c>
      <c r="G814" s="47" t="e">
        <f t="shared" si="363"/>
        <v>#REF!</v>
      </c>
      <c r="H814" s="47" t="e">
        <f t="shared" si="363"/>
        <v>#REF!</v>
      </c>
    </row>
    <row r="815" spans="1:8" ht="12.75" hidden="1" x14ac:dyDescent="0.2">
      <c r="A815" s="47" t="e">
        <f t="shared" ref="A815:H815" si="364">#REF!</f>
        <v>#REF!</v>
      </c>
      <c r="B815" s="47" t="e">
        <f t="shared" si="364"/>
        <v>#REF!</v>
      </c>
      <c r="C815" s="47" t="e">
        <f t="shared" si="364"/>
        <v>#REF!</v>
      </c>
      <c r="D815" s="47" t="e">
        <f t="shared" si="364"/>
        <v>#REF!</v>
      </c>
      <c r="E815" s="47" t="e">
        <f t="shared" si="364"/>
        <v>#REF!</v>
      </c>
      <c r="F815" s="47" t="e">
        <f t="shared" si="364"/>
        <v>#REF!</v>
      </c>
      <c r="G815" s="47" t="e">
        <f t="shared" si="364"/>
        <v>#REF!</v>
      </c>
      <c r="H815" s="47" t="e">
        <f t="shared" si="364"/>
        <v>#REF!</v>
      </c>
    </row>
    <row r="816" spans="1:8" ht="12.75" hidden="1" x14ac:dyDescent="0.2">
      <c r="A816" s="47" t="e">
        <f t="shared" ref="A816:H816" si="365">#REF!</f>
        <v>#REF!</v>
      </c>
      <c r="B816" s="47" t="e">
        <f t="shared" si="365"/>
        <v>#REF!</v>
      </c>
      <c r="C816" s="47" t="e">
        <f t="shared" si="365"/>
        <v>#REF!</v>
      </c>
      <c r="D816" s="47" t="e">
        <f t="shared" si="365"/>
        <v>#REF!</v>
      </c>
      <c r="E816" s="47" t="e">
        <f t="shared" si="365"/>
        <v>#REF!</v>
      </c>
      <c r="F816" s="47" t="e">
        <f t="shared" si="365"/>
        <v>#REF!</v>
      </c>
      <c r="G816" s="47" t="e">
        <f t="shared" si="365"/>
        <v>#REF!</v>
      </c>
      <c r="H816" s="47" t="e">
        <f t="shared" si="365"/>
        <v>#REF!</v>
      </c>
    </row>
    <row r="817" spans="1:8" ht="12.75" hidden="1" x14ac:dyDescent="0.2">
      <c r="A817" s="47" t="e">
        <f t="shared" ref="A817:H817" si="366">#REF!</f>
        <v>#REF!</v>
      </c>
      <c r="B817" s="47" t="e">
        <f t="shared" si="366"/>
        <v>#REF!</v>
      </c>
      <c r="C817" s="47" t="e">
        <f t="shared" si="366"/>
        <v>#REF!</v>
      </c>
      <c r="D817" s="47" t="e">
        <f t="shared" si="366"/>
        <v>#REF!</v>
      </c>
      <c r="E817" s="47" t="e">
        <f t="shared" si="366"/>
        <v>#REF!</v>
      </c>
      <c r="F817" s="47" t="e">
        <f t="shared" si="366"/>
        <v>#REF!</v>
      </c>
      <c r="G817" s="47" t="e">
        <f t="shared" si="366"/>
        <v>#REF!</v>
      </c>
      <c r="H817" s="47" t="e">
        <f t="shared" si="366"/>
        <v>#REF!</v>
      </c>
    </row>
    <row r="818" spans="1:8" ht="12.75" hidden="1" x14ac:dyDescent="0.2">
      <c r="A818" s="47" t="e">
        <f t="shared" ref="A818:H818" si="367">#REF!</f>
        <v>#REF!</v>
      </c>
      <c r="B818" s="47" t="e">
        <f t="shared" si="367"/>
        <v>#REF!</v>
      </c>
      <c r="C818" s="47" t="e">
        <f t="shared" si="367"/>
        <v>#REF!</v>
      </c>
      <c r="D818" s="47" t="e">
        <f t="shared" si="367"/>
        <v>#REF!</v>
      </c>
      <c r="E818" s="47" t="e">
        <f t="shared" si="367"/>
        <v>#REF!</v>
      </c>
      <c r="F818" s="47" t="e">
        <f t="shared" si="367"/>
        <v>#REF!</v>
      </c>
      <c r="G818" s="47" t="e">
        <f t="shared" si="367"/>
        <v>#REF!</v>
      </c>
      <c r="H818" s="47" t="e">
        <f t="shared" si="367"/>
        <v>#REF!</v>
      </c>
    </row>
    <row r="819" spans="1:8" ht="12.75" hidden="1" x14ac:dyDescent="0.2">
      <c r="A819" s="47" t="e">
        <f t="shared" ref="A819:H819" si="368">#REF!</f>
        <v>#REF!</v>
      </c>
      <c r="B819" s="47" t="e">
        <f t="shared" si="368"/>
        <v>#REF!</v>
      </c>
      <c r="C819" s="47" t="e">
        <f t="shared" si="368"/>
        <v>#REF!</v>
      </c>
      <c r="D819" s="47" t="e">
        <f t="shared" si="368"/>
        <v>#REF!</v>
      </c>
      <c r="E819" s="47" t="e">
        <f t="shared" si="368"/>
        <v>#REF!</v>
      </c>
      <c r="F819" s="47" t="e">
        <f t="shared" si="368"/>
        <v>#REF!</v>
      </c>
      <c r="G819" s="47" t="e">
        <f t="shared" si="368"/>
        <v>#REF!</v>
      </c>
      <c r="H819" s="47" t="e">
        <f t="shared" si="368"/>
        <v>#REF!</v>
      </c>
    </row>
    <row r="820" spans="1:8" ht="12.75" hidden="1" x14ac:dyDescent="0.2">
      <c r="A820" s="47" t="e">
        <f t="shared" ref="A820:H820" si="369">#REF!</f>
        <v>#REF!</v>
      </c>
      <c r="B820" s="47" t="e">
        <f t="shared" si="369"/>
        <v>#REF!</v>
      </c>
      <c r="C820" s="47" t="e">
        <f t="shared" si="369"/>
        <v>#REF!</v>
      </c>
      <c r="D820" s="47" t="e">
        <f t="shared" si="369"/>
        <v>#REF!</v>
      </c>
      <c r="E820" s="47" t="e">
        <f t="shared" si="369"/>
        <v>#REF!</v>
      </c>
      <c r="F820" s="47" t="e">
        <f t="shared" si="369"/>
        <v>#REF!</v>
      </c>
      <c r="G820" s="47" t="e">
        <f t="shared" si="369"/>
        <v>#REF!</v>
      </c>
      <c r="H820" s="47" t="e">
        <f t="shared" si="369"/>
        <v>#REF!</v>
      </c>
    </row>
    <row r="821" spans="1:8" ht="12.75" hidden="1" x14ac:dyDescent="0.2">
      <c r="A821" s="47" t="e">
        <f t="shared" ref="A821:H821" si="370">#REF!</f>
        <v>#REF!</v>
      </c>
      <c r="B821" s="47" t="e">
        <f t="shared" si="370"/>
        <v>#REF!</v>
      </c>
      <c r="C821" s="47" t="e">
        <f t="shared" si="370"/>
        <v>#REF!</v>
      </c>
      <c r="D821" s="47" t="e">
        <f t="shared" si="370"/>
        <v>#REF!</v>
      </c>
      <c r="E821" s="47" t="e">
        <f t="shared" si="370"/>
        <v>#REF!</v>
      </c>
      <c r="F821" s="47" t="e">
        <f t="shared" si="370"/>
        <v>#REF!</v>
      </c>
      <c r="G821" s="47" t="e">
        <f t="shared" si="370"/>
        <v>#REF!</v>
      </c>
      <c r="H821" s="47" t="e">
        <f t="shared" si="370"/>
        <v>#REF!</v>
      </c>
    </row>
    <row r="822" spans="1:8" ht="12.75" hidden="1" x14ac:dyDescent="0.2">
      <c r="A822" s="47" t="e">
        <f t="shared" ref="A822:H822" si="371">#REF!</f>
        <v>#REF!</v>
      </c>
      <c r="B822" s="47" t="e">
        <f t="shared" si="371"/>
        <v>#REF!</v>
      </c>
      <c r="C822" s="47" t="e">
        <f t="shared" si="371"/>
        <v>#REF!</v>
      </c>
      <c r="D822" s="47" t="e">
        <f t="shared" si="371"/>
        <v>#REF!</v>
      </c>
      <c r="E822" s="47" t="e">
        <f t="shared" si="371"/>
        <v>#REF!</v>
      </c>
      <c r="F822" s="47" t="e">
        <f t="shared" si="371"/>
        <v>#REF!</v>
      </c>
      <c r="G822" s="47" t="e">
        <f t="shared" si="371"/>
        <v>#REF!</v>
      </c>
      <c r="H822" s="47" t="e">
        <f t="shared" si="371"/>
        <v>#REF!</v>
      </c>
    </row>
    <row r="823" spans="1:8" ht="12.75" hidden="1" x14ac:dyDescent="0.2">
      <c r="A823" s="47" t="e">
        <f t="shared" ref="A823:H823" si="372">#REF!</f>
        <v>#REF!</v>
      </c>
      <c r="B823" s="47" t="e">
        <f t="shared" si="372"/>
        <v>#REF!</v>
      </c>
      <c r="C823" s="47" t="e">
        <f t="shared" si="372"/>
        <v>#REF!</v>
      </c>
      <c r="D823" s="47" t="e">
        <f t="shared" si="372"/>
        <v>#REF!</v>
      </c>
      <c r="E823" s="47" t="e">
        <f t="shared" si="372"/>
        <v>#REF!</v>
      </c>
      <c r="F823" s="47" t="e">
        <f t="shared" si="372"/>
        <v>#REF!</v>
      </c>
      <c r="G823" s="47" t="e">
        <f t="shared" si="372"/>
        <v>#REF!</v>
      </c>
      <c r="H823" s="47" t="e">
        <f t="shared" si="372"/>
        <v>#REF!</v>
      </c>
    </row>
    <row r="824" spans="1:8" ht="12.75" hidden="1" x14ac:dyDescent="0.2">
      <c r="A824" s="47" t="e">
        <f t="shared" ref="A824:H824" si="373">#REF!</f>
        <v>#REF!</v>
      </c>
      <c r="B824" s="47" t="e">
        <f t="shared" si="373"/>
        <v>#REF!</v>
      </c>
      <c r="C824" s="47" t="e">
        <f t="shared" si="373"/>
        <v>#REF!</v>
      </c>
      <c r="D824" s="47" t="e">
        <f t="shared" si="373"/>
        <v>#REF!</v>
      </c>
      <c r="E824" s="47" t="e">
        <f t="shared" si="373"/>
        <v>#REF!</v>
      </c>
      <c r="F824" s="47" t="e">
        <f t="shared" si="373"/>
        <v>#REF!</v>
      </c>
      <c r="G824" s="47" t="e">
        <f t="shared" si="373"/>
        <v>#REF!</v>
      </c>
      <c r="H824" s="47" t="e">
        <f t="shared" si="373"/>
        <v>#REF!</v>
      </c>
    </row>
    <row r="825" spans="1:8" ht="12.75" hidden="1" x14ac:dyDescent="0.2">
      <c r="A825" s="47" t="e">
        <f t="shared" ref="A825:H825" si="374">#REF!</f>
        <v>#REF!</v>
      </c>
      <c r="B825" s="47" t="e">
        <f t="shared" si="374"/>
        <v>#REF!</v>
      </c>
      <c r="C825" s="47" t="e">
        <f t="shared" si="374"/>
        <v>#REF!</v>
      </c>
      <c r="D825" s="47" t="e">
        <f t="shared" si="374"/>
        <v>#REF!</v>
      </c>
      <c r="E825" s="47" t="e">
        <f t="shared" si="374"/>
        <v>#REF!</v>
      </c>
      <c r="F825" s="47" t="e">
        <f t="shared" si="374"/>
        <v>#REF!</v>
      </c>
      <c r="G825" s="47" t="e">
        <f t="shared" si="374"/>
        <v>#REF!</v>
      </c>
      <c r="H825" s="47" t="e">
        <f t="shared" si="374"/>
        <v>#REF!</v>
      </c>
    </row>
    <row r="826" spans="1:8" ht="12.75" hidden="1" x14ac:dyDescent="0.2">
      <c r="A826" s="47" t="e">
        <f t="shared" ref="A826:H826" si="375">#REF!</f>
        <v>#REF!</v>
      </c>
      <c r="B826" s="47" t="e">
        <f t="shared" si="375"/>
        <v>#REF!</v>
      </c>
      <c r="C826" s="47" t="e">
        <f t="shared" si="375"/>
        <v>#REF!</v>
      </c>
      <c r="D826" s="47" t="e">
        <f t="shared" si="375"/>
        <v>#REF!</v>
      </c>
      <c r="E826" s="47" t="e">
        <f t="shared" si="375"/>
        <v>#REF!</v>
      </c>
      <c r="F826" s="47" t="e">
        <f t="shared" si="375"/>
        <v>#REF!</v>
      </c>
      <c r="G826" s="47" t="e">
        <f t="shared" si="375"/>
        <v>#REF!</v>
      </c>
      <c r="H826" s="47" t="e">
        <f t="shared" si="375"/>
        <v>#REF!</v>
      </c>
    </row>
    <row r="827" spans="1:8" ht="12.75" hidden="1" x14ac:dyDescent="0.2">
      <c r="A827" s="47" t="e">
        <f t="shared" ref="A827:H827" si="376">#REF!</f>
        <v>#REF!</v>
      </c>
      <c r="B827" s="47" t="e">
        <f t="shared" si="376"/>
        <v>#REF!</v>
      </c>
      <c r="C827" s="47" t="e">
        <f t="shared" si="376"/>
        <v>#REF!</v>
      </c>
      <c r="D827" s="47" t="e">
        <f t="shared" si="376"/>
        <v>#REF!</v>
      </c>
      <c r="E827" s="47" t="e">
        <f t="shared" si="376"/>
        <v>#REF!</v>
      </c>
      <c r="F827" s="47" t="e">
        <f t="shared" si="376"/>
        <v>#REF!</v>
      </c>
      <c r="G827" s="47" t="e">
        <f t="shared" si="376"/>
        <v>#REF!</v>
      </c>
      <c r="H827" s="47" t="e">
        <f t="shared" si="376"/>
        <v>#REF!</v>
      </c>
    </row>
    <row r="828" spans="1:8" ht="12.75" hidden="1" x14ac:dyDescent="0.2">
      <c r="A828" s="47" t="e">
        <f t="shared" ref="A828:H828" si="377">#REF!</f>
        <v>#REF!</v>
      </c>
      <c r="B828" s="47" t="e">
        <f t="shared" si="377"/>
        <v>#REF!</v>
      </c>
      <c r="C828" s="47" t="e">
        <f t="shared" si="377"/>
        <v>#REF!</v>
      </c>
      <c r="D828" s="47" t="e">
        <f t="shared" si="377"/>
        <v>#REF!</v>
      </c>
      <c r="E828" s="47" t="e">
        <f t="shared" si="377"/>
        <v>#REF!</v>
      </c>
      <c r="F828" s="47" t="e">
        <f t="shared" si="377"/>
        <v>#REF!</v>
      </c>
      <c r="G828" s="47" t="e">
        <f t="shared" si="377"/>
        <v>#REF!</v>
      </c>
      <c r="H828" s="47" t="e">
        <f t="shared" si="377"/>
        <v>#REF!</v>
      </c>
    </row>
    <row r="829" spans="1:8" ht="12.75" hidden="1" x14ac:dyDescent="0.2">
      <c r="A829" s="47" t="e">
        <f t="shared" ref="A829:H829" si="378">#REF!</f>
        <v>#REF!</v>
      </c>
      <c r="B829" s="47" t="e">
        <f t="shared" si="378"/>
        <v>#REF!</v>
      </c>
      <c r="C829" s="47" t="e">
        <f t="shared" si="378"/>
        <v>#REF!</v>
      </c>
      <c r="D829" s="47" t="e">
        <f t="shared" si="378"/>
        <v>#REF!</v>
      </c>
      <c r="E829" s="47" t="e">
        <f t="shared" si="378"/>
        <v>#REF!</v>
      </c>
      <c r="F829" s="47" t="e">
        <f t="shared" si="378"/>
        <v>#REF!</v>
      </c>
      <c r="G829" s="47" t="e">
        <f t="shared" si="378"/>
        <v>#REF!</v>
      </c>
      <c r="H829" s="47" t="e">
        <f t="shared" si="378"/>
        <v>#REF!</v>
      </c>
    </row>
    <row r="830" spans="1:8" ht="12.75" hidden="1" x14ac:dyDescent="0.2">
      <c r="A830" s="47" t="e">
        <f t="shared" ref="A830:H830" si="379">#REF!</f>
        <v>#REF!</v>
      </c>
      <c r="B830" s="47" t="e">
        <f t="shared" si="379"/>
        <v>#REF!</v>
      </c>
      <c r="C830" s="47" t="e">
        <f t="shared" si="379"/>
        <v>#REF!</v>
      </c>
      <c r="D830" s="47" t="e">
        <f t="shared" si="379"/>
        <v>#REF!</v>
      </c>
      <c r="E830" s="47" t="e">
        <f t="shared" si="379"/>
        <v>#REF!</v>
      </c>
      <c r="F830" s="47" t="e">
        <f t="shared" si="379"/>
        <v>#REF!</v>
      </c>
      <c r="G830" s="47" t="e">
        <f t="shared" si="379"/>
        <v>#REF!</v>
      </c>
      <c r="H830" s="47" t="e">
        <f t="shared" si="379"/>
        <v>#REF!</v>
      </c>
    </row>
    <row r="831" spans="1:8" ht="12.75" hidden="1" x14ac:dyDescent="0.2">
      <c r="A831" s="47" t="e">
        <f t="shared" ref="A831:H831" si="380">#REF!</f>
        <v>#REF!</v>
      </c>
      <c r="B831" s="47" t="e">
        <f t="shared" si="380"/>
        <v>#REF!</v>
      </c>
      <c r="C831" s="47" t="e">
        <f t="shared" si="380"/>
        <v>#REF!</v>
      </c>
      <c r="D831" s="47" t="e">
        <f t="shared" si="380"/>
        <v>#REF!</v>
      </c>
      <c r="E831" s="47" t="e">
        <f t="shared" si="380"/>
        <v>#REF!</v>
      </c>
      <c r="F831" s="47" t="e">
        <f t="shared" si="380"/>
        <v>#REF!</v>
      </c>
      <c r="G831" s="47" t="e">
        <f t="shared" si="380"/>
        <v>#REF!</v>
      </c>
      <c r="H831" s="47" t="e">
        <f t="shared" si="380"/>
        <v>#REF!</v>
      </c>
    </row>
    <row r="832" spans="1:8" ht="12.75" hidden="1" x14ac:dyDescent="0.2">
      <c r="A832" s="47" t="e">
        <f t="shared" ref="A832:H832" si="381">#REF!</f>
        <v>#REF!</v>
      </c>
      <c r="B832" s="47" t="e">
        <f t="shared" si="381"/>
        <v>#REF!</v>
      </c>
      <c r="C832" s="47" t="e">
        <f t="shared" si="381"/>
        <v>#REF!</v>
      </c>
      <c r="D832" s="47" t="e">
        <f t="shared" si="381"/>
        <v>#REF!</v>
      </c>
      <c r="E832" s="47" t="e">
        <f t="shared" si="381"/>
        <v>#REF!</v>
      </c>
      <c r="F832" s="47" t="e">
        <f t="shared" si="381"/>
        <v>#REF!</v>
      </c>
      <c r="G832" s="47" t="e">
        <f t="shared" si="381"/>
        <v>#REF!</v>
      </c>
      <c r="H832" s="47" t="e">
        <f t="shared" si="381"/>
        <v>#REF!</v>
      </c>
    </row>
    <row r="833" spans="1:8" ht="12.75" hidden="1" x14ac:dyDescent="0.2">
      <c r="A833" s="47" t="e">
        <f t="shared" ref="A833:H833" si="382">#REF!</f>
        <v>#REF!</v>
      </c>
      <c r="B833" s="47" t="e">
        <f t="shared" si="382"/>
        <v>#REF!</v>
      </c>
      <c r="C833" s="47" t="e">
        <f t="shared" si="382"/>
        <v>#REF!</v>
      </c>
      <c r="D833" s="47" t="e">
        <f t="shared" si="382"/>
        <v>#REF!</v>
      </c>
      <c r="E833" s="47" t="e">
        <f t="shared" si="382"/>
        <v>#REF!</v>
      </c>
      <c r="F833" s="47" t="e">
        <f t="shared" si="382"/>
        <v>#REF!</v>
      </c>
      <c r="G833" s="47" t="e">
        <f t="shared" si="382"/>
        <v>#REF!</v>
      </c>
      <c r="H833" s="47" t="e">
        <f t="shared" si="382"/>
        <v>#REF!</v>
      </c>
    </row>
    <row r="834" spans="1:8" ht="12.75" hidden="1" x14ac:dyDescent="0.2">
      <c r="A834" s="47" t="e">
        <f t="shared" ref="A834:H834" si="383">#REF!</f>
        <v>#REF!</v>
      </c>
      <c r="B834" s="47" t="e">
        <f t="shared" si="383"/>
        <v>#REF!</v>
      </c>
      <c r="C834" s="47" t="e">
        <f t="shared" si="383"/>
        <v>#REF!</v>
      </c>
      <c r="D834" s="47" t="e">
        <f t="shared" si="383"/>
        <v>#REF!</v>
      </c>
      <c r="E834" s="47" t="e">
        <f t="shared" si="383"/>
        <v>#REF!</v>
      </c>
      <c r="F834" s="47" t="e">
        <f t="shared" si="383"/>
        <v>#REF!</v>
      </c>
      <c r="G834" s="47" t="e">
        <f t="shared" si="383"/>
        <v>#REF!</v>
      </c>
      <c r="H834" s="47" t="e">
        <f t="shared" si="383"/>
        <v>#REF!</v>
      </c>
    </row>
    <row r="835" spans="1:8" ht="12.75" hidden="1" x14ac:dyDescent="0.2">
      <c r="A835" s="47" t="e">
        <f t="shared" ref="A835:H835" si="384">#REF!</f>
        <v>#REF!</v>
      </c>
      <c r="B835" s="47" t="e">
        <f t="shared" si="384"/>
        <v>#REF!</v>
      </c>
      <c r="C835" s="47" t="e">
        <f t="shared" si="384"/>
        <v>#REF!</v>
      </c>
      <c r="D835" s="47" t="e">
        <f t="shared" si="384"/>
        <v>#REF!</v>
      </c>
      <c r="E835" s="47" t="e">
        <f t="shared" si="384"/>
        <v>#REF!</v>
      </c>
      <c r="F835" s="47" t="e">
        <f t="shared" si="384"/>
        <v>#REF!</v>
      </c>
      <c r="G835" s="47" t="e">
        <f t="shared" si="384"/>
        <v>#REF!</v>
      </c>
      <c r="H835" s="47" t="e">
        <f t="shared" si="384"/>
        <v>#REF!</v>
      </c>
    </row>
    <row r="836" spans="1:8" ht="12.75" hidden="1" x14ac:dyDescent="0.2">
      <c r="A836" s="47" t="e">
        <f t="shared" ref="A836:H836" si="385">#REF!</f>
        <v>#REF!</v>
      </c>
      <c r="B836" s="47" t="e">
        <f t="shared" si="385"/>
        <v>#REF!</v>
      </c>
      <c r="C836" s="47" t="e">
        <f t="shared" si="385"/>
        <v>#REF!</v>
      </c>
      <c r="D836" s="47" t="e">
        <f t="shared" si="385"/>
        <v>#REF!</v>
      </c>
      <c r="E836" s="47" t="e">
        <f t="shared" si="385"/>
        <v>#REF!</v>
      </c>
      <c r="F836" s="47" t="e">
        <f t="shared" si="385"/>
        <v>#REF!</v>
      </c>
      <c r="G836" s="47" t="e">
        <f t="shared" si="385"/>
        <v>#REF!</v>
      </c>
      <c r="H836" s="47" t="e">
        <f t="shared" si="385"/>
        <v>#REF!</v>
      </c>
    </row>
    <row r="837" spans="1:8" ht="12.75" hidden="1" x14ac:dyDescent="0.2">
      <c r="A837" s="47" t="e">
        <f t="shared" ref="A837:H837" si="386">#REF!</f>
        <v>#REF!</v>
      </c>
      <c r="B837" s="47" t="e">
        <f t="shared" si="386"/>
        <v>#REF!</v>
      </c>
      <c r="C837" s="47" t="e">
        <f t="shared" si="386"/>
        <v>#REF!</v>
      </c>
      <c r="D837" s="47" t="e">
        <f t="shared" si="386"/>
        <v>#REF!</v>
      </c>
      <c r="E837" s="47" t="e">
        <f t="shared" si="386"/>
        <v>#REF!</v>
      </c>
      <c r="F837" s="47" t="e">
        <f t="shared" si="386"/>
        <v>#REF!</v>
      </c>
      <c r="G837" s="47" t="e">
        <f t="shared" si="386"/>
        <v>#REF!</v>
      </c>
      <c r="H837" s="47" t="e">
        <f t="shared" si="386"/>
        <v>#REF!</v>
      </c>
    </row>
    <row r="838" spans="1:8" ht="12.75" hidden="1" x14ac:dyDescent="0.2">
      <c r="A838" s="47" t="e">
        <f t="shared" ref="A838:H838" si="387">#REF!</f>
        <v>#REF!</v>
      </c>
      <c r="B838" s="47" t="e">
        <f t="shared" si="387"/>
        <v>#REF!</v>
      </c>
      <c r="C838" s="47" t="e">
        <f t="shared" si="387"/>
        <v>#REF!</v>
      </c>
      <c r="D838" s="47" t="e">
        <f t="shared" si="387"/>
        <v>#REF!</v>
      </c>
      <c r="E838" s="47" t="e">
        <f t="shared" si="387"/>
        <v>#REF!</v>
      </c>
      <c r="F838" s="47" t="e">
        <f t="shared" si="387"/>
        <v>#REF!</v>
      </c>
      <c r="G838" s="47" t="e">
        <f t="shared" si="387"/>
        <v>#REF!</v>
      </c>
      <c r="H838" s="47" t="e">
        <f t="shared" si="387"/>
        <v>#REF!</v>
      </c>
    </row>
    <row r="839" spans="1:8" ht="12.75" hidden="1" x14ac:dyDescent="0.2">
      <c r="A839" s="47" t="e">
        <f t="shared" ref="A839:H839" si="388">#REF!</f>
        <v>#REF!</v>
      </c>
      <c r="B839" s="47" t="e">
        <f t="shared" si="388"/>
        <v>#REF!</v>
      </c>
      <c r="C839" s="47" t="e">
        <f t="shared" si="388"/>
        <v>#REF!</v>
      </c>
      <c r="D839" s="47" t="e">
        <f t="shared" si="388"/>
        <v>#REF!</v>
      </c>
      <c r="E839" s="47" t="e">
        <f t="shared" si="388"/>
        <v>#REF!</v>
      </c>
      <c r="F839" s="47" t="e">
        <f t="shared" si="388"/>
        <v>#REF!</v>
      </c>
      <c r="G839" s="47" t="e">
        <f t="shared" si="388"/>
        <v>#REF!</v>
      </c>
      <c r="H839" s="47" t="e">
        <f t="shared" si="388"/>
        <v>#REF!</v>
      </c>
    </row>
    <row r="840" spans="1:8" ht="12.75" hidden="1" x14ac:dyDescent="0.2">
      <c r="A840" s="47" t="e">
        <f t="shared" ref="A840:H840" si="389">#REF!</f>
        <v>#REF!</v>
      </c>
      <c r="B840" s="47" t="e">
        <f t="shared" si="389"/>
        <v>#REF!</v>
      </c>
      <c r="C840" s="47" t="e">
        <f t="shared" si="389"/>
        <v>#REF!</v>
      </c>
      <c r="D840" s="47" t="e">
        <f t="shared" si="389"/>
        <v>#REF!</v>
      </c>
      <c r="E840" s="47" t="e">
        <f t="shared" si="389"/>
        <v>#REF!</v>
      </c>
      <c r="F840" s="47" t="e">
        <f t="shared" si="389"/>
        <v>#REF!</v>
      </c>
      <c r="G840" s="47" t="e">
        <f t="shared" si="389"/>
        <v>#REF!</v>
      </c>
      <c r="H840" s="47" t="e">
        <f t="shared" si="389"/>
        <v>#REF!</v>
      </c>
    </row>
    <row r="841" spans="1:8" ht="12.75" hidden="1" x14ac:dyDescent="0.2">
      <c r="A841" s="47" t="e">
        <f t="shared" ref="A841:H841" si="390">#REF!</f>
        <v>#REF!</v>
      </c>
      <c r="B841" s="47" t="e">
        <f t="shared" si="390"/>
        <v>#REF!</v>
      </c>
      <c r="C841" s="47" t="e">
        <f t="shared" si="390"/>
        <v>#REF!</v>
      </c>
      <c r="D841" s="47" t="e">
        <f t="shared" si="390"/>
        <v>#REF!</v>
      </c>
      <c r="E841" s="47" t="e">
        <f t="shared" si="390"/>
        <v>#REF!</v>
      </c>
      <c r="F841" s="47" t="e">
        <f t="shared" si="390"/>
        <v>#REF!</v>
      </c>
      <c r="G841" s="47" t="e">
        <f t="shared" si="390"/>
        <v>#REF!</v>
      </c>
      <c r="H841" s="47" t="e">
        <f t="shared" si="390"/>
        <v>#REF!</v>
      </c>
    </row>
    <row r="842" spans="1:8" ht="12.75" hidden="1" x14ac:dyDescent="0.2">
      <c r="A842" s="47" t="e">
        <f t="shared" ref="A842:H842" si="391">#REF!</f>
        <v>#REF!</v>
      </c>
      <c r="B842" s="47" t="e">
        <f t="shared" si="391"/>
        <v>#REF!</v>
      </c>
      <c r="C842" s="47" t="e">
        <f t="shared" si="391"/>
        <v>#REF!</v>
      </c>
      <c r="D842" s="47" t="e">
        <f t="shared" si="391"/>
        <v>#REF!</v>
      </c>
      <c r="E842" s="47" t="e">
        <f t="shared" si="391"/>
        <v>#REF!</v>
      </c>
      <c r="F842" s="47" t="e">
        <f t="shared" si="391"/>
        <v>#REF!</v>
      </c>
      <c r="G842" s="47" t="e">
        <f t="shared" si="391"/>
        <v>#REF!</v>
      </c>
      <c r="H842" s="47" t="e">
        <f t="shared" si="391"/>
        <v>#REF!</v>
      </c>
    </row>
    <row r="843" spans="1:8" ht="12.75" hidden="1" x14ac:dyDescent="0.2">
      <c r="A843" s="47" t="e">
        <f t="shared" ref="A843:H843" si="392">#REF!</f>
        <v>#REF!</v>
      </c>
      <c r="B843" s="47" t="e">
        <f t="shared" si="392"/>
        <v>#REF!</v>
      </c>
      <c r="C843" s="47" t="e">
        <f t="shared" si="392"/>
        <v>#REF!</v>
      </c>
      <c r="D843" s="47" t="e">
        <f t="shared" si="392"/>
        <v>#REF!</v>
      </c>
      <c r="E843" s="47" t="e">
        <f t="shared" si="392"/>
        <v>#REF!</v>
      </c>
      <c r="F843" s="47" t="e">
        <f t="shared" si="392"/>
        <v>#REF!</v>
      </c>
      <c r="G843" s="47" t="e">
        <f t="shared" si="392"/>
        <v>#REF!</v>
      </c>
      <c r="H843" s="47" t="e">
        <f t="shared" si="392"/>
        <v>#REF!</v>
      </c>
    </row>
    <row r="844" spans="1:8" ht="12.75" hidden="1" x14ac:dyDescent="0.2">
      <c r="A844" s="47" t="e">
        <f t="shared" ref="A844:H844" si="393">#REF!</f>
        <v>#REF!</v>
      </c>
      <c r="B844" s="47" t="e">
        <f t="shared" si="393"/>
        <v>#REF!</v>
      </c>
      <c r="C844" s="47" t="e">
        <f t="shared" si="393"/>
        <v>#REF!</v>
      </c>
      <c r="D844" s="47" t="e">
        <f t="shared" si="393"/>
        <v>#REF!</v>
      </c>
      <c r="E844" s="47" t="e">
        <f t="shared" si="393"/>
        <v>#REF!</v>
      </c>
      <c r="F844" s="47" t="e">
        <f t="shared" si="393"/>
        <v>#REF!</v>
      </c>
      <c r="G844" s="47" t="e">
        <f t="shared" si="393"/>
        <v>#REF!</v>
      </c>
      <c r="H844" s="47" t="e">
        <f t="shared" si="393"/>
        <v>#REF!</v>
      </c>
    </row>
    <row r="845" spans="1:8" ht="12.75" hidden="1" x14ac:dyDescent="0.2">
      <c r="A845" s="47" t="e">
        <f t="shared" ref="A845:H845" si="394">#REF!</f>
        <v>#REF!</v>
      </c>
      <c r="B845" s="47" t="e">
        <f t="shared" si="394"/>
        <v>#REF!</v>
      </c>
      <c r="C845" s="47" t="e">
        <f t="shared" si="394"/>
        <v>#REF!</v>
      </c>
      <c r="D845" s="47" t="e">
        <f t="shared" si="394"/>
        <v>#REF!</v>
      </c>
      <c r="E845" s="47" t="e">
        <f t="shared" si="394"/>
        <v>#REF!</v>
      </c>
      <c r="F845" s="47" t="e">
        <f t="shared" si="394"/>
        <v>#REF!</v>
      </c>
      <c r="G845" s="47" t="e">
        <f t="shared" si="394"/>
        <v>#REF!</v>
      </c>
      <c r="H845" s="47" t="e">
        <f t="shared" si="394"/>
        <v>#REF!</v>
      </c>
    </row>
    <row r="846" spans="1:8" ht="12.75" hidden="1" x14ac:dyDescent="0.2">
      <c r="A846" s="47" t="e">
        <f t="shared" ref="A846:H846" si="395">#REF!</f>
        <v>#REF!</v>
      </c>
      <c r="B846" s="47" t="e">
        <f t="shared" si="395"/>
        <v>#REF!</v>
      </c>
      <c r="C846" s="47" t="e">
        <f t="shared" si="395"/>
        <v>#REF!</v>
      </c>
      <c r="D846" s="47" t="e">
        <f t="shared" si="395"/>
        <v>#REF!</v>
      </c>
      <c r="E846" s="47" t="e">
        <f t="shared" si="395"/>
        <v>#REF!</v>
      </c>
      <c r="F846" s="47" t="e">
        <f t="shared" si="395"/>
        <v>#REF!</v>
      </c>
      <c r="G846" s="47" t="e">
        <f t="shared" si="395"/>
        <v>#REF!</v>
      </c>
      <c r="H846" s="47" t="e">
        <f t="shared" si="395"/>
        <v>#REF!</v>
      </c>
    </row>
    <row r="847" spans="1:8" ht="12.75" hidden="1" x14ac:dyDescent="0.2">
      <c r="A847" s="47" t="e">
        <f t="shared" ref="A847:H847" si="396">#REF!</f>
        <v>#REF!</v>
      </c>
      <c r="B847" s="47" t="e">
        <f t="shared" si="396"/>
        <v>#REF!</v>
      </c>
      <c r="C847" s="47" t="e">
        <f t="shared" si="396"/>
        <v>#REF!</v>
      </c>
      <c r="D847" s="47" t="e">
        <f t="shared" si="396"/>
        <v>#REF!</v>
      </c>
      <c r="E847" s="47" t="e">
        <f t="shared" si="396"/>
        <v>#REF!</v>
      </c>
      <c r="F847" s="47" t="e">
        <f t="shared" si="396"/>
        <v>#REF!</v>
      </c>
      <c r="G847" s="47" t="e">
        <f t="shared" si="396"/>
        <v>#REF!</v>
      </c>
      <c r="H847" s="47" t="e">
        <f t="shared" si="396"/>
        <v>#REF!</v>
      </c>
    </row>
    <row r="848" spans="1:8" ht="12.75" hidden="1" x14ac:dyDescent="0.2">
      <c r="A848" s="47" t="e">
        <f t="shared" ref="A848:H848" si="397">#REF!</f>
        <v>#REF!</v>
      </c>
      <c r="B848" s="47" t="e">
        <f t="shared" si="397"/>
        <v>#REF!</v>
      </c>
      <c r="C848" s="47" t="e">
        <f t="shared" si="397"/>
        <v>#REF!</v>
      </c>
      <c r="D848" s="47" t="e">
        <f t="shared" si="397"/>
        <v>#REF!</v>
      </c>
      <c r="E848" s="47" t="e">
        <f t="shared" si="397"/>
        <v>#REF!</v>
      </c>
      <c r="F848" s="47" t="e">
        <f t="shared" si="397"/>
        <v>#REF!</v>
      </c>
      <c r="G848" s="47" t="e">
        <f t="shared" si="397"/>
        <v>#REF!</v>
      </c>
      <c r="H848" s="47" t="e">
        <f t="shared" si="397"/>
        <v>#REF!</v>
      </c>
    </row>
    <row r="849" spans="1:8" ht="12.75" hidden="1" x14ac:dyDescent="0.2">
      <c r="A849" s="47" t="e">
        <f t="shared" ref="A849:H849" si="398">#REF!</f>
        <v>#REF!</v>
      </c>
      <c r="B849" s="47" t="e">
        <f t="shared" si="398"/>
        <v>#REF!</v>
      </c>
      <c r="C849" s="47" t="e">
        <f t="shared" si="398"/>
        <v>#REF!</v>
      </c>
      <c r="D849" s="47" t="e">
        <f t="shared" si="398"/>
        <v>#REF!</v>
      </c>
      <c r="E849" s="47" t="e">
        <f t="shared" si="398"/>
        <v>#REF!</v>
      </c>
      <c r="F849" s="47" t="e">
        <f t="shared" si="398"/>
        <v>#REF!</v>
      </c>
      <c r="G849" s="47" t="e">
        <f t="shared" si="398"/>
        <v>#REF!</v>
      </c>
      <c r="H849" s="47" t="e">
        <f t="shared" si="398"/>
        <v>#REF!</v>
      </c>
    </row>
    <row r="850" spans="1:8" ht="12.75" hidden="1" x14ac:dyDescent="0.2">
      <c r="A850" s="47" t="e">
        <f t="shared" ref="A850:H850" si="399">#REF!</f>
        <v>#REF!</v>
      </c>
      <c r="B850" s="47" t="e">
        <f t="shared" si="399"/>
        <v>#REF!</v>
      </c>
      <c r="C850" s="47" t="e">
        <f t="shared" si="399"/>
        <v>#REF!</v>
      </c>
      <c r="D850" s="47" t="e">
        <f t="shared" si="399"/>
        <v>#REF!</v>
      </c>
      <c r="E850" s="47" t="e">
        <f t="shared" si="399"/>
        <v>#REF!</v>
      </c>
      <c r="F850" s="47" t="e">
        <f t="shared" si="399"/>
        <v>#REF!</v>
      </c>
      <c r="G850" s="47" t="e">
        <f t="shared" si="399"/>
        <v>#REF!</v>
      </c>
      <c r="H850" s="47" t="e">
        <f t="shared" si="399"/>
        <v>#REF!</v>
      </c>
    </row>
    <row r="851" spans="1:8" ht="12.75" hidden="1" x14ac:dyDescent="0.2">
      <c r="A851" s="47" t="e">
        <f t="shared" ref="A851:H851" si="400">#REF!</f>
        <v>#REF!</v>
      </c>
      <c r="B851" s="47" t="e">
        <f t="shared" si="400"/>
        <v>#REF!</v>
      </c>
      <c r="C851" s="47" t="e">
        <f t="shared" si="400"/>
        <v>#REF!</v>
      </c>
      <c r="D851" s="47" t="e">
        <f t="shared" si="400"/>
        <v>#REF!</v>
      </c>
      <c r="E851" s="47" t="e">
        <f t="shared" si="400"/>
        <v>#REF!</v>
      </c>
      <c r="F851" s="47" t="e">
        <f t="shared" si="400"/>
        <v>#REF!</v>
      </c>
      <c r="G851" s="47" t="e">
        <f t="shared" si="400"/>
        <v>#REF!</v>
      </c>
      <c r="H851" s="47" t="e">
        <f t="shared" si="400"/>
        <v>#REF!</v>
      </c>
    </row>
    <row r="852" spans="1:8" ht="12.75" hidden="1" x14ac:dyDescent="0.2">
      <c r="A852" s="47" t="e">
        <f t="shared" ref="A852:H852" si="401">#REF!</f>
        <v>#REF!</v>
      </c>
      <c r="B852" s="47" t="e">
        <f t="shared" si="401"/>
        <v>#REF!</v>
      </c>
      <c r="C852" s="47" t="e">
        <f t="shared" si="401"/>
        <v>#REF!</v>
      </c>
      <c r="D852" s="47" t="e">
        <f t="shared" si="401"/>
        <v>#REF!</v>
      </c>
      <c r="E852" s="47" t="e">
        <f t="shared" si="401"/>
        <v>#REF!</v>
      </c>
      <c r="F852" s="47" t="e">
        <f t="shared" si="401"/>
        <v>#REF!</v>
      </c>
      <c r="G852" s="47" t="e">
        <f t="shared" si="401"/>
        <v>#REF!</v>
      </c>
      <c r="H852" s="47" t="e">
        <f t="shared" si="401"/>
        <v>#REF!</v>
      </c>
    </row>
    <row r="853" spans="1:8" ht="12.75" hidden="1" x14ac:dyDescent="0.2">
      <c r="A853" s="47" t="e">
        <f t="shared" ref="A853:H853" si="402">#REF!</f>
        <v>#REF!</v>
      </c>
      <c r="B853" s="47" t="e">
        <f t="shared" si="402"/>
        <v>#REF!</v>
      </c>
      <c r="C853" s="47" t="e">
        <f t="shared" si="402"/>
        <v>#REF!</v>
      </c>
      <c r="D853" s="47" t="e">
        <f t="shared" si="402"/>
        <v>#REF!</v>
      </c>
      <c r="E853" s="47" t="e">
        <f t="shared" si="402"/>
        <v>#REF!</v>
      </c>
      <c r="F853" s="47" t="e">
        <f t="shared" si="402"/>
        <v>#REF!</v>
      </c>
      <c r="G853" s="47" t="e">
        <f t="shared" si="402"/>
        <v>#REF!</v>
      </c>
      <c r="H853" s="47" t="e">
        <f t="shared" si="402"/>
        <v>#REF!</v>
      </c>
    </row>
    <row r="854" spans="1:8" ht="12.75" hidden="1" x14ac:dyDescent="0.2">
      <c r="A854" s="47" t="e">
        <f t="shared" ref="A854:H854" si="403">#REF!</f>
        <v>#REF!</v>
      </c>
      <c r="B854" s="47" t="e">
        <f t="shared" si="403"/>
        <v>#REF!</v>
      </c>
      <c r="C854" s="47" t="e">
        <f t="shared" si="403"/>
        <v>#REF!</v>
      </c>
      <c r="D854" s="47" t="e">
        <f t="shared" si="403"/>
        <v>#REF!</v>
      </c>
      <c r="E854" s="47" t="e">
        <f t="shared" si="403"/>
        <v>#REF!</v>
      </c>
      <c r="F854" s="47" t="e">
        <f t="shared" si="403"/>
        <v>#REF!</v>
      </c>
      <c r="G854" s="47" t="e">
        <f t="shared" si="403"/>
        <v>#REF!</v>
      </c>
      <c r="H854" s="47" t="e">
        <f t="shared" si="403"/>
        <v>#REF!</v>
      </c>
    </row>
    <row r="855" spans="1:8" ht="12.75" hidden="1" x14ac:dyDescent="0.2">
      <c r="A855" s="47" t="e">
        <f t="shared" ref="A855:H855" si="404">#REF!</f>
        <v>#REF!</v>
      </c>
      <c r="B855" s="47" t="e">
        <f t="shared" si="404"/>
        <v>#REF!</v>
      </c>
      <c r="C855" s="47" t="e">
        <f t="shared" si="404"/>
        <v>#REF!</v>
      </c>
      <c r="D855" s="47" t="e">
        <f t="shared" si="404"/>
        <v>#REF!</v>
      </c>
      <c r="E855" s="47" t="e">
        <f t="shared" si="404"/>
        <v>#REF!</v>
      </c>
      <c r="F855" s="47" t="e">
        <f t="shared" si="404"/>
        <v>#REF!</v>
      </c>
      <c r="G855" s="47" t="e">
        <f t="shared" si="404"/>
        <v>#REF!</v>
      </c>
      <c r="H855" s="47" t="e">
        <f t="shared" si="404"/>
        <v>#REF!</v>
      </c>
    </row>
    <row r="856" spans="1:8" ht="12.75" hidden="1" x14ac:dyDescent="0.2">
      <c r="A856" s="47" t="e">
        <f t="shared" ref="A856:H856" si="405">#REF!</f>
        <v>#REF!</v>
      </c>
      <c r="B856" s="47" t="e">
        <f t="shared" si="405"/>
        <v>#REF!</v>
      </c>
      <c r="C856" s="47" t="e">
        <f t="shared" si="405"/>
        <v>#REF!</v>
      </c>
      <c r="D856" s="47" t="e">
        <f t="shared" si="405"/>
        <v>#REF!</v>
      </c>
      <c r="E856" s="47" t="e">
        <f t="shared" si="405"/>
        <v>#REF!</v>
      </c>
      <c r="F856" s="47" t="e">
        <f t="shared" si="405"/>
        <v>#REF!</v>
      </c>
      <c r="G856" s="47" t="e">
        <f t="shared" si="405"/>
        <v>#REF!</v>
      </c>
      <c r="H856" s="47" t="e">
        <f t="shared" si="405"/>
        <v>#REF!</v>
      </c>
    </row>
    <row r="857" spans="1:8" ht="12.75" hidden="1" x14ac:dyDescent="0.2">
      <c r="A857" s="47" t="e">
        <f t="shared" ref="A857:H857" si="406">#REF!</f>
        <v>#REF!</v>
      </c>
      <c r="B857" s="47" t="e">
        <f t="shared" si="406"/>
        <v>#REF!</v>
      </c>
      <c r="C857" s="47" t="e">
        <f t="shared" si="406"/>
        <v>#REF!</v>
      </c>
      <c r="D857" s="47" t="e">
        <f t="shared" si="406"/>
        <v>#REF!</v>
      </c>
      <c r="E857" s="47" t="e">
        <f t="shared" si="406"/>
        <v>#REF!</v>
      </c>
      <c r="F857" s="47" t="e">
        <f t="shared" si="406"/>
        <v>#REF!</v>
      </c>
      <c r="G857" s="47" t="e">
        <f t="shared" si="406"/>
        <v>#REF!</v>
      </c>
      <c r="H857" s="47" t="e">
        <f t="shared" si="406"/>
        <v>#REF!</v>
      </c>
    </row>
    <row r="858" spans="1:8" ht="12.75" hidden="1" x14ac:dyDescent="0.2">
      <c r="A858" s="47" t="e">
        <f t="shared" ref="A858:H858" si="407">#REF!</f>
        <v>#REF!</v>
      </c>
      <c r="B858" s="47" t="e">
        <f t="shared" si="407"/>
        <v>#REF!</v>
      </c>
      <c r="C858" s="47" t="e">
        <f t="shared" si="407"/>
        <v>#REF!</v>
      </c>
      <c r="D858" s="47" t="e">
        <f t="shared" si="407"/>
        <v>#REF!</v>
      </c>
      <c r="E858" s="47" t="e">
        <f t="shared" si="407"/>
        <v>#REF!</v>
      </c>
      <c r="F858" s="47" t="e">
        <f t="shared" si="407"/>
        <v>#REF!</v>
      </c>
      <c r="G858" s="47" t="e">
        <f t="shared" si="407"/>
        <v>#REF!</v>
      </c>
      <c r="H858" s="47" t="e">
        <f t="shared" si="407"/>
        <v>#REF!</v>
      </c>
    </row>
    <row r="859" spans="1:8" ht="12.75" hidden="1" x14ac:dyDescent="0.2">
      <c r="A859" s="47" t="e">
        <f t="shared" ref="A859:H859" si="408">#REF!</f>
        <v>#REF!</v>
      </c>
      <c r="B859" s="47" t="e">
        <f t="shared" si="408"/>
        <v>#REF!</v>
      </c>
      <c r="C859" s="47" t="e">
        <f t="shared" si="408"/>
        <v>#REF!</v>
      </c>
      <c r="D859" s="47" t="e">
        <f t="shared" si="408"/>
        <v>#REF!</v>
      </c>
      <c r="E859" s="47" t="e">
        <f t="shared" si="408"/>
        <v>#REF!</v>
      </c>
      <c r="F859" s="47" t="e">
        <f t="shared" si="408"/>
        <v>#REF!</v>
      </c>
      <c r="G859" s="47" t="e">
        <f t="shared" si="408"/>
        <v>#REF!</v>
      </c>
      <c r="H859" s="47" t="e">
        <f t="shared" si="408"/>
        <v>#REF!</v>
      </c>
    </row>
    <row r="860" spans="1:8" ht="12.75" hidden="1" x14ac:dyDescent="0.2">
      <c r="A860" s="47" t="e">
        <f t="shared" ref="A860:H860" si="409">#REF!</f>
        <v>#REF!</v>
      </c>
      <c r="B860" s="47" t="e">
        <f t="shared" si="409"/>
        <v>#REF!</v>
      </c>
      <c r="C860" s="47" t="e">
        <f t="shared" si="409"/>
        <v>#REF!</v>
      </c>
      <c r="D860" s="47" t="e">
        <f t="shared" si="409"/>
        <v>#REF!</v>
      </c>
      <c r="E860" s="47" t="e">
        <f t="shared" si="409"/>
        <v>#REF!</v>
      </c>
      <c r="F860" s="47" t="e">
        <f t="shared" si="409"/>
        <v>#REF!</v>
      </c>
      <c r="G860" s="47" t="e">
        <f t="shared" si="409"/>
        <v>#REF!</v>
      </c>
      <c r="H860" s="47" t="e">
        <f t="shared" si="409"/>
        <v>#REF!</v>
      </c>
    </row>
    <row r="861" spans="1:8" ht="12.75" hidden="1" x14ac:dyDescent="0.2">
      <c r="A861" s="47" t="e">
        <f t="shared" ref="A861:H861" si="410">#REF!</f>
        <v>#REF!</v>
      </c>
      <c r="B861" s="47" t="e">
        <f t="shared" si="410"/>
        <v>#REF!</v>
      </c>
      <c r="C861" s="47" t="e">
        <f t="shared" si="410"/>
        <v>#REF!</v>
      </c>
      <c r="D861" s="47" t="e">
        <f t="shared" si="410"/>
        <v>#REF!</v>
      </c>
      <c r="E861" s="47" t="e">
        <f t="shared" si="410"/>
        <v>#REF!</v>
      </c>
      <c r="F861" s="47" t="e">
        <f t="shared" si="410"/>
        <v>#REF!</v>
      </c>
      <c r="G861" s="47" t="e">
        <f t="shared" si="410"/>
        <v>#REF!</v>
      </c>
      <c r="H861" s="47" t="e">
        <f t="shared" si="410"/>
        <v>#REF!</v>
      </c>
    </row>
    <row r="862" spans="1:8" ht="12.75" hidden="1" x14ac:dyDescent="0.2">
      <c r="A862" s="47" t="e">
        <f t="shared" ref="A862:H862" si="411">#REF!</f>
        <v>#REF!</v>
      </c>
      <c r="B862" s="47" t="e">
        <f t="shared" si="411"/>
        <v>#REF!</v>
      </c>
      <c r="C862" s="47" t="e">
        <f t="shared" si="411"/>
        <v>#REF!</v>
      </c>
      <c r="D862" s="47" t="e">
        <f t="shared" si="411"/>
        <v>#REF!</v>
      </c>
      <c r="E862" s="47" t="e">
        <f t="shared" si="411"/>
        <v>#REF!</v>
      </c>
      <c r="F862" s="47" t="e">
        <f t="shared" si="411"/>
        <v>#REF!</v>
      </c>
      <c r="G862" s="47" t="e">
        <f t="shared" si="411"/>
        <v>#REF!</v>
      </c>
      <c r="H862" s="47" t="e">
        <f t="shared" si="411"/>
        <v>#REF!</v>
      </c>
    </row>
    <row r="863" spans="1:8" ht="12.75" hidden="1" x14ac:dyDescent="0.2">
      <c r="A863" s="47" t="e">
        <f t="shared" ref="A863:H863" si="412">#REF!</f>
        <v>#REF!</v>
      </c>
      <c r="B863" s="47" t="e">
        <f t="shared" si="412"/>
        <v>#REF!</v>
      </c>
      <c r="C863" s="47" t="e">
        <f t="shared" si="412"/>
        <v>#REF!</v>
      </c>
      <c r="D863" s="47" t="e">
        <f t="shared" si="412"/>
        <v>#REF!</v>
      </c>
      <c r="E863" s="47" t="e">
        <f t="shared" si="412"/>
        <v>#REF!</v>
      </c>
      <c r="F863" s="47" t="e">
        <f t="shared" si="412"/>
        <v>#REF!</v>
      </c>
      <c r="G863" s="47" t="e">
        <f t="shared" si="412"/>
        <v>#REF!</v>
      </c>
      <c r="H863" s="47" t="e">
        <f t="shared" si="412"/>
        <v>#REF!</v>
      </c>
    </row>
    <row r="864" spans="1:8" ht="12.75" hidden="1" x14ac:dyDescent="0.2">
      <c r="A864" s="47" t="e">
        <f t="shared" ref="A864:H864" si="413">#REF!</f>
        <v>#REF!</v>
      </c>
      <c r="B864" s="47" t="e">
        <f t="shared" si="413"/>
        <v>#REF!</v>
      </c>
      <c r="C864" s="47" t="e">
        <f t="shared" si="413"/>
        <v>#REF!</v>
      </c>
      <c r="D864" s="47" t="e">
        <f t="shared" si="413"/>
        <v>#REF!</v>
      </c>
      <c r="E864" s="47" t="e">
        <f t="shared" si="413"/>
        <v>#REF!</v>
      </c>
      <c r="F864" s="47" t="e">
        <f t="shared" si="413"/>
        <v>#REF!</v>
      </c>
      <c r="G864" s="47" t="e">
        <f t="shared" si="413"/>
        <v>#REF!</v>
      </c>
      <c r="H864" s="47" t="e">
        <f t="shared" si="413"/>
        <v>#REF!</v>
      </c>
    </row>
    <row r="865" spans="1:8" ht="12.75" hidden="1" x14ac:dyDescent="0.2">
      <c r="A865" s="47" t="e">
        <f t="shared" ref="A865:H865" si="414">#REF!</f>
        <v>#REF!</v>
      </c>
      <c r="B865" s="47" t="e">
        <f t="shared" si="414"/>
        <v>#REF!</v>
      </c>
      <c r="C865" s="47" t="e">
        <f t="shared" si="414"/>
        <v>#REF!</v>
      </c>
      <c r="D865" s="47" t="e">
        <f t="shared" si="414"/>
        <v>#REF!</v>
      </c>
      <c r="E865" s="47" t="e">
        <f t="shared" si="414"/>
        <v>#REF!</v>
      </c>
      <c r="F865" s="47" t="e">
        <f t="shared" si="414"/>
        <v>#REF!</v>
      </c>
      <c r="G865" s="47" t="e">
        <f t="shared" si="414"/>
        <v>#REF!</v>
      </c>
      <c r="H865" s="47" t="e">
        <f t="shared" si="414"/>
        <v>#REF!</v>
      </c>
    </row>
    <row r="866" spans="1:8" ht="12.75" hidden="1" x14ac:dyDescent="0.2">
      <c r="A866" s="47" t="e">
        <f t="shared" ref="A866:H866" si="415">#REF!</f>
        <v>#REF!</v>
      </c>
      <c r="B866" s="47" t="e">
        <f t="shared" si="415"/>
        <v>#REF!</v>
      </c>
      <c r="C866" s="47" t="e">
        <f t="shared" si="415"/>
        <v>#REF!</v>
      </c>
      <c r="D866" s="47" t="e">
        <f t="shared" si="415"/>
        <v>#REF!</v>
      </c>
      <c r="E866" s="47" t="e">
        <f t="shared" si="415"/>
        <v>#REF!</v>
      </c>
      <c r="F866" s="47" t="e">
        <f t="shared" si="415"/>
        <v>#REF!</v>
      </c>
      <c r="G866" s="47" t="e">
        <f t="shared" si="415"/>
        <v>#REF!</v>
      </c>
      <c r="H866" s="47" t="e">
        <f t="shared" si="415"/>
        <v>#REF!</v>
      </c>
    </row>
    <row r="867" spans="1:8" ht="12.75" hidden="1" x14ac:dyDescent="0.2">
      <c r="A867" s="47" t="e">
        <f t="shared" ref="A867:H867" si="416">#REF!</f>
        <v>#REF!</v>
      </c>
      <c r="B867" s="47" t="e">
        <f t="shared" si="416"/>
        <v>#REF!</v>
      </c>
      <c r="C867" s="47" t="e">
        <f t="shared" si="416"/>
        <v>#REF!</v>
      </c>
      <c r="D867" s="47" t="e">
        <f t="shared" si="416"/>
        <v>#REF!</v>
      </c>
      <c r="E867" s="47" t="e">
        <f t="shared" si="416"/>
        <v>#REF!</v>
      </c>
      <c r="F867" s="47" t="e">
        <f t="shared" si="416"/>
        <v>#REF!</v>
      </c>
      <c r="G867" s="47" t="e">
        <f t="shared" si="416"/>
        <v>#REF!</v>
      </c>
      <c r="H867" s="47" t="e">
        <f t="shared" si="416"/>
        <v>#REF!</v>
      </c>
    </row>
    <row r="868" spans="1:8" ht="12.75" hidden="1" x14ac:dyDescent="0.2">
      <c r="A868" s="47" t="e">
        <f t="shared" ref="A868:H868" si="417">#REF!</f>
        <v>#REF!</v>
      </c>
      <c r="B868" s="47" t="e">
        <f t="shared" si="417"/>
        <v>#REF!</v>
      </c>
      <c r="C868" s="47" t="e">
        <f t="shared" si="417"/>
        <v>#REF!</v>
      </c>
      <c r="D868" s="47" t="e">
        <f t="shared" si="417"/>
        <v>#REF!</v>
      </c>
      <c r="E868" s="47" t="e">
        <f t="shared" si="417"/>
        <v>#REF!</v>
      </c>
      <c r="F868" s="47" t="e">
        <f t="shared" si="417"/>
        <v>#REF!</v>
      </c>
      <c r="G868" s="47" t="e">
        <f t="shared" si="417"/>
        <v>#REF!</v>
      </c>
      <c r="H868" s="47" t="e">
        <f t="shared" si="417"/>
        <v>#REF!</v>
      </c>
    </row>
    <row r="869" spans="1:8" ht="12.75" hidden="1" x14ac:dyDescent="0.2">
      <c r="A869" s="47" t="e">
        <f t="shared" ref="A869:H869" si="418">#REF!</f>
        <v>#REF!</v>
      </c>
      <c r="B869" s="47" t="e">
        <f t="shared" si="418"/>
        <v>#REF!</v>
      </c>
      <c r="C869" s="47" t="e">
        <f t="shared" si="418"/>
        <v>#REF!</v>
      </c>
      <c r="D869" s="47" t="e">
        <f t="shared" si="418"/>
        <v>#REF!</v>
      </c>
      <c r="E869" s="47" t="e">
        <f t="shared" si="418"/>
        <v>#REF!</v>
      </c>
      <c r="F869" s="47" t="e">
        <f t="shared" si="418"/>
        <v>#REF!</v>
      </c>
      <c r="G869" s="47" t="e">
        <f t="shared" si="418"/>
        <v>#REF!</v>
      </c>
      <c r="H869" s="47" t="e">
        <f t="shared" si="418"/>
        <v>#REF!</v>
      </c>
    </row>
    <row r="870" spans="1:8" ht="12.75" hidden="1" x14ac:dyDescent="0.2">
      <c r="A870" s="47" t="e">
        <f t="shared" ref="A870:H870" si="419">#REF!</f>
        <v>#REF!</v>
      </c>
      <c r="B870" s="47" t="e">
        <f t="shared" si="419"/>
        <v>#REF!</v>
      </c>
      <c r="C870" s="47" t="e">
        <f t="shared" si="419"/>
        <v>#REF!</v>
      </c>
      <c r="D870" s="47" t="e">
        <f t="shared" si="419"/>
        <v>#REF!</v>
      </c>
      <c r="E870" s="47" t="e">
        <f t="shared" si="419"/>
        <v>#REF!</v>
      </c>
      <c r="F870" s="47" t="e">
        <f t="shared" si="419"/>
        <v>#REF!</v>
      </c>
      <c r="G870" s="47" t="e">
        <f t="shared" si="419"/>
        <v>#REF!</v>
      </c>
      <c r="H870" s="47" t="e">
        <f t="shared" si="419"/>
        <v>#REF!</v>
      </c>
    </row>
    <row r="871" spans="1:8" ht="12.75" hidden="1" x14ac:dyDescent="0.2">
      <c r="A871" s="47" t="e">
        <f t="shared" ref="A871:H871" si="420">#REF!</f>
        <v>#REF!</v>
      </c>
      <c r="B871" s="47" t="e">
        <f t="shared" si="420"/>
        <v>#REF!</v>
      </c>
      <c r="C871" s="47" t="e">
        <f t="shared" si="420"/>
        <v>#REF!</v>
      </c>
      <c r="D871" s="47" t="e">
        <f t="shared" si="420"/>
        <v>#REF!</v>
      </c>
      <c r="E871" s="47" t="e">
        <f t="shared" si="420"/>
        <v>#REF!</v>
      </c>
      <c r="F871" s="47" t="e">
        <f t="shared" si="420"/>
        <v>#REF!</v>
      </c>
      <c r="G871" s="47" t="e">
        <f t="shared" si="420"/>
        <v>#REF!</v>
      </c>
      <c r="H871" s="47" t="e">
        <f t="shared" si="420"/>
        <v>#REF!</v>
      </c>
    </row>
    <row r="872" spans="1:8" ht="12.75" hidden="1" x14ac:dyDescent="0.2">
      <c r="A872" s="47" t="e">
        <f t="shared" ref="A872:H872" si="421">#REF!</f>
        <v>#REF!</v>
      </c>
      <c r="B872" s="47" t="e">
        <f t="shared" si="421"/>
        <v>#REF!</v>
      </c>
      <c r="C872" s="47" t="e">
        <f t="shared" si="421"/>
        <v>#REF!</v>
      </c>
      <c r="D872" s="47" t="e">
        <f t="shared" si="421"/>
        <v>#REF!</v>
      </c>
      <c r="E872" s="47" t="e">
        <f t="shared" si="421"/>
        <v>#REF!</v>
      </c>
      <c r="F872" s="47" t="e">
        <f t="shared" si="421"/>
        <v>#REF!</v>
      </c>
      <c r="G872" s="47" t="e">
        <f t="shared" si="421"/>
        <v>#REF!</v>
      </c>
      <c r="H872" s="47" t="e">
        <f t="shared" si="421"/>
        <v>#REF!</v>
      </c>
    </row>
    <row r="873" spans="1:8" ht="12.75" hidden="1" x14ac:dyDescent="0.2">
      <c r="A873" s="47" t="e">
        <f t="shared" ref="A873:H873" si="422">#REF!</f>
        <v>#REF!</v>
      </c>
      <c r="B873" s="47" t="e">
        <f t="shared" si="422"/>
        <v>#REF!</v>
      </c>
      <c r="C873" s="47" t="e">
        <f t="shared" si="422"/>
        <v>#REF!</v>
      </c>
      <c r="D873" s="47" t="e">
        <f t="shared" si="422"/>
        <v>#REF!</v>
      </c>
      <c r="E873" s="47" t="e">
        <f t="shared" si="422"/>
        <v>#REF!</v>
      </c>
      <c r="F873" s="47" t="e">
        <f t="shared" si="422"/>
        <v>#REF!</v>
      </c>
      <c r="G873" s="47" t="e">
        <f t="shared" si="422"/>
        <v>#REF!</v>
      </c>
      <c r="H873" s="47" t="e">
        <f t="shared" si="422"/>
        <v>#REF!</v>
      </c>
    </row>
    <row r="874" spans="1:8" ht="12.75" hidden="1" x14ac:dyDescent="0.2">
      <c r="A874" s="47" t="e">
        <f t="shared" ref="A874:H874" si="423">#REF!</f>
        <v>#REF!</v>
      </c>
      <c r="B874" s="47" t="e">
        <f t="shared" si="423"/>
        <v>#REF!</v>
      </c>
      <c r="C874" s="47" t="e">
        <f t="shared" si="423"/>
        <v>#REF!</v>
      </c>
      <c r="D874" s="47" t="e">
        <f t="shared" si="423"/>
        <v>#REF!</v>
      </c>
      <c r="E874" s="47" t="e">
        <f t="shared" si="423"/>
        <v>#REF!</v>
      </c>
      <c r="F874" s="47" t="e">
        <f t="shared" si="423"/>
        <v>#REF!</v>
      </c>
      <c r="G874" s="47" t="e">
        <f t="shared" si="423"/>
        <v>#REF!</v>
      </c>
      <c r="H874" s="47" t="e">
        <f t="shared" si="423"/>
        <v>#REF!</v>
      </c>
    </row>
    <row r="875" spans="1:8" ht="12.75" hidden="1" x14ac:dyDescent="0.2">
      <c r="A875" s="47" t="e">
        <f t="shared" ref="A875:H875" si="424">#REF!</f>
        <v>#REF!</v>
      </c>
      <c r="B875" s="47" t="e">
        <f t="shared" si="424"/>
        <v>#REF!</v>
      </c>
      <c r="C875" s="47" t="e">
        <f t="shared" si="424"/>
        <v>#REF!</v>
      </c>
      <c r="D875" s="47" t="e">
        <f t="shared" si="424"/>
        <v>#REF!</v>
      </c>
      <c r="E875" s="47" t="e">
        <f t="shared" si="424"/>
        <v>#REF!</v>
      </c>
      <c r="F875" s="47" t="e">
        <f t="shared" si="424"/>
        <v>#REF!</v>
      </c>
      <c r="G875" s="47" t="e">
        <f t="shared" si="424"/>
        <v>#REF!</v>
      </c>
      <c r="H875" s="47" t="e">
        <f t="shared" si="424"/>
        <v>#REF!</v>
      </c>
    </row>
    <row r="876" spans="1:8" ht="12.75" hidden="1" x14ac:dyDescent="0.2">
      <c r="A876" s="47" t="e">
        <f t="shared" ref="A876:H876" si="425">#REF!</f>
        <v>#REF!</v>
      </c>
      <c r="B876" s="47" t="e">
        <f t="shared" si="425"/>
        <v>#REF!</v>
      </c>
      <c r="C876" s="47" t="e">
        <f t="shared" si="425"/>
        <v>#REF!</v>
      </c>
      <c r="D876" s="47" t="e">
        <f t="shared" si="425"/>
        <v>#REF!</v>
      </c>
      <c r="E876" s="47" t="e">
        <f t="shared" si="425"/>
        <v>#REF!</v>
      </c>
      <c r="F876" s="47" t="e">
        <f t="shared" si="425"/>
        <v>#REF!</v>
      </c>
      <c r="G876" s="47" t="e">
        <f t="shared" si="425"/>
        <v>#REF!</v>
      </c>
      <c r="H876" s="47" t="e">
        <f t="shared" si="425"/>
        <v>#REF!</v>
      </c>
    </row>
    <row r="877" spans="1:8" ht="12.75" hidden="1" x14ac:dyDescent="0.2">
      <c r="A877" s="47" t="e">
        <f t="shared" ref="A877:H877" si="426">#REF!</f>
        <v>#REF!</v>
      </c>
      <c r="B877" s="47" t="e">
        <f t="shared" si="426"/>
        <v>#REF!</v>
      </c>
      <c r="C877" s="47" t="e">
        <f t="shared" si="426"/>
        <v>#REF!</v>
      </c>
      <c r="D877" s="47" t="e">
        <f t="shared" si="426"/>
        <v>#REF!</v>
      </c>
      <c r="E877" s="47" t="e">
        <f t="shared" si="426"/>
        <v>#REF!</v>
      </c>
      <c r="F877" s="47" t="e">
        <f t="shared" si="426"/>
        <v>#REF!</v>
      </c>
      <c r="G877" s="47" t="e">
        <f t="shared" si="426"/>
        <v>#REF!</v>
      </c>
      <c r="H877" s="47" t="e">
        <f t="shared" si="426"/>
        <v>#REF!</v>
      </c>
    </row>
    <row r="878" spans="1:8" ht="12.75" hidden="1" x14ac:dyDescent="0.2">
      <c r="A878" s="47" t="e">
        <f t="shared" ref="A878:H878" si="427">#REF!</f>
        <v>#REF!</v>
      </c>
      <c r="B878" s="47" t="e">
        <f t="shared" si="427"/>
        <v>#REF!</v>
      </c>
      <c r="C878" s="47" t="e">
        <f t="shared" si="427"/>
        <v>#REF!</v>
      </c>
      <c r="D878" s="47" t="e">
        <f t="shared" si="427"/>
        <v>#REF!</v>
      </c>
      <c r="E878" s="47" t="e">
        <f t="shared" si="427"/>
        <v>#REF!</v>
      </c>
      <c r="F878" s="47" t="e">
        <f t="shared" si="427"/>
        <v>#REF!</v>
      </c>
      <c r="G878" s="47" t="e">
        <f t="shared" si="427"/>
        <v>#REF!</v>
      </c>
      <c r="H878" s="47" t="e">
        <f t="shared" si="427"/>
        <v>#REF!</v>
      </c>
    </row>
    <row r="879" spans="1:8" ht="12.75" hidden="1" x14ac:dyDescent="0.2">
      <c r="A879" s="47" t="e">
        <f t="shared" ref="A879:H879" si="428">#REF!</f>
        <v>#REF!</v>
      </c>
      <c r="B879" s="47" t="e">
        <f t="shared" si="428"/>
        <v>#REF!</v>
      </c>
      <c r="C879" s="47" t="e">
        <f t="shared" si="428"/>
        <v>#REF!</v>
      </c>
      <c r="D879" s="47" t="e">
        <f t="shared" si="428"/>
        <v>#REF!</v>
      </c>
      <c r="E879" s="47" t="e">
        <f t="shared" si="428"/>
        <v>#REF!</v>
      </c>
      <c r="F879" s="47" t="e">
        <f t="shared" si="428"/>
        <v>#REF!</v>
      </c>
      <c r="G879" s="47" t="e">
        <f t="shared" si="428"/>
        <v>#REF!</v>
      </c>
      <c r="H879" s="47" t="e">
        <f t="shared" si="428"/>
        <v>#REF!</v>
      </c>
    </row>
    <row r="880" spans="1:8" ht="12.75" hidden="1" x14ac:dyDescent="0.2">
      <c r="A880" s="47" t="e">
        <f t="shared" ref="A880:H880" si="429">#REF!</f>
        <v>#REF!</v>
      </c>
      <c r="B880" s="47" t="e">
        <f t="shared" si="429"/>
        <v>#REF!</v>
      </c>
      <c r="C880" s="47" t="e">
        <f t="shared" si="429"/>
        <v>#REF!</v>
      </c>
      <c r="D880" s="47" t="e">
        <f t="shared" si="429"/>
        <v>#REF!</v>
      </c>
      <c r="E880" s="47" t="e">
        <f t="shared" si="429"/>
        <v>#REF!</v>
      </c>
      <c r="F880" s="47" t="e">
        <f t="shared" si="429"/>
        <v>#REF!</v>
      </c>
      <c r="G880" s="47" t="e">
        <f t="shared" si="429"/>
        <v>#REF!</v>
      </c>
      <c r="H880" s="47" t="e">
        <f t="shared" si="429"/>
        <v>#REF!</v>
      </c>
    </row>
    <row r="881" spans="1:8" ht="12.75" hidden="1" x14ac:dyDescent="0.2">
      <c r="A881" s="47" t="e">
        <f t="shared" ref="A881:H881" si="430">#REF!</f>
        <v>#REF!</v>
      </c>
      <c r="B881" s="47" t="e">
        <f t="shared" si="430"/>
        <v>#REF!</v>
      </c>
      <c r="C881" s="47" t="e">
        <f t="shared" si="430"/>
        <v>#REF!</v>
      </c>
      <c r="D881" s="47" t="e">
        <f t="shared" si="430"/>
        <v>#REF!</v>
      </c>
      <c r="E881" s="47" t="e">
        <f t="shared" si="430"/>
        <v>#REF!</v>
      </c>
      <c r="F881" s="47" t="e">
        <f t="shared" si="430"/>
        <v>#REF!</v>
      </c>
      <c r="G881" s="47" t="e">
        <f t="shared" si="430"/>
        <v>#REF!</v>
      </c>
      <c r="H881" s="47" t="e">
        <f t="shared" si="430"/>
        <v>#REF!</v>
      </c>
    </row>
    <row r="882" spans="1:8" ht="12.75" hidden="1" x14ac:dyDescent="0.2">
      <c r="A882" s="47" t="e">
        <f t="shared" ref="A882:H882" si="431">#REF!</f>
        <v>#REF!</v>
      </c>
      <c r="B882" s="47" t="e">
        <f t="shared" si="431"/>
        <v>#REF!</v>
      </c>
      <c r="C882" s="47" t="e">
        <f t="shared" si="431"/>
        <v>#REF!</v>
      </c>
      <c r="D882" s="47" t="e">
        <f t="shared" si="431"/>
        <v>#REF!</v>
      </c>
      <c r="E882" s="47" t="e">
        <f t="shared" si="431"/>
        <v>#REF!</v>
      </c>
      <c r="F882" s="47" t="e">
        <f t="shared" si="431"/>
        <v>#REF!</v>
      </c>
      <c r="G882" s="47" t="e">
        <f t="shared" si="431"/>
        <v>#REF!</v>
      </c>
      <c r="H882" s="47" t="e">
        <f t="shared" si="431"/>
        <v>#REF!</v>
      </c>
    </row>
    <row r="883" spans="1:8" ht="12.75" hidden="1" x14ac:dyDescent="0.2">
      <c r="A883" s="47" t="e">
        <f t="shared" ref="A883:H883" si="432">#REF!</f>
        <v>#REF!</v>
      </c>
      <c r="B883" s="47" t="e">
        <f t="shared" si="432"/>
        <v>#REF!</v>
      </c>
      <c r="C883" s="47" t="e">
        <f t="shared" si="432"/>
        <v>#REF!</v>
      </c>
      <c r="D883" s="47" t="e">
        <f t="shared" si="432"/>
        <v>#REF!</v>
      </c>
      <c r="E883" s="47" t="e">
        <f t="shared" si="432"/>
        <v>#REF!</v>
      </c>
      <c r="F883" s="47" t="e">
        <f t="shared" si="432"/>
        <v>#REF!</v>
      </c>
      <c r="G883" s="47" t="e">
        <f t="shared" si="432"/>
        <v>#REF!</v>
      </c>
      <c r="H883" s="47" t="e">
        <f t="shared" si="432"/>
        <v>#REF!</v>
      </c>
    </row>
    <row r="884" spans="1:8" ht="12.75" hidden="1" x14ac:dyDescent="0.2">
      <c r="A884" s="47" t="e">
        <f t="shared" ref="A884:H884" si="433">#REF!</f>
        <v>#REF!</v>
      </c>
      <c r="B884" s="47" t="e">
        <f t="shared" si="433"/>
        <v>#REF!</v>
      </c>
      <c r="C884" s="47" t="e">
        <f t="shared" si="433"/>
        <v>#REF!</v>
      </c>
      <c r="D884" s="47" t="e">
        <f t="shared" si="433"/>
        <v>#REF!</v>
      </c>
      <c r="E884" s="47" t="e">
        <f t="shared" si="433"/>
        <v>#REF!</v>
      </c>
      <c r="F884" s="47" t="e">
        <f t="shared" si="433"/>
        <v>#REF!</v>
      </c>
      <c r="G884" s="47" t="e">
        <f t="shared" si="433"/>
        <v>#REF!</v>
      </c>
      <c r="H884" s="47" t="e">
        <f t="shared" si="433"/>
        <v>#REF!</v>
      </c>
    </row>
    <row r="885" spans="1:8" ht="12.75" hidden="1" x14ac:dyDescent="0.2">
      <c r="A885" s="47" t="e">
        <f t="shared" ref="A885:H885" si="434">#REF!</f>
        <v>#REF!</v>
      </c>
      <c r="B885" s="47" t="e">
        <f t="shared" si="434"/>
        <v>#REF!</v>
      </c>
      <c r="C885" s="47" t="e">
        <f t="shared" si="434"/>
        <v>#REF!</v>
      </c>
      <c r="D885" s="47" t="e">
        <f t="shared" si="434"/>
        <v>#REF!</v>
      </c>
      <c r="E885" s="47" t="e">
        <f t="shared" si="434"/>
        <v>#REF!</v>
      </c>
      <c r="F885" s="47" t="e">
        <f t="shared" si="434"/>
        <v>#REF!</v>
      </c>
      <c r="G885" s="47" t="e">
        <f t="shared" si="434"/>
        <v>#REF!</v>
      </c>
      <c r="H885" s="47" t="e">
        <f t="shared" si="434"/>
        <v>#REF!</v>
      </c>
    </row>
    <row r="886" spans="1:8" ht="12.75" hidden="1" x14ac:dyDescent="0.2">
      <c r="A886" s="47" t="e">
        <f t="shared" ref="A886:H886" si="435">#REF!</f>
        <v>#REF!</v>
      </c>
      <c r="B886" s="47" t="e">
        <f t="shared" si="435"/>
        <v>#REF!</v>
      </c>
      <c r="C886" s="47" t="e">
        <f t="shared" si="435"/>
        <v>#REF!</v>
      </c>
      <c r="D886" s="47" t="e">
        <f t="shared" si="435"/>
        <v>#REF!</v>
      </c>
      <c r="E886" s="47" t="e">
        <f t="shared" si="435"/>
        <v>#REF!</v>
      </c>
      <c r="F886" s="47" t="e">
        <f t="shared" si="435"/>
        <v>#REF!</v>
      </c>
      <c r="G886" s="47" t="e">
        <f t="shared" si="435"/>
        <v>#REF!</v>
      </c>
      <c r="H886" s="47" t="e">
        <f t="shared" si="435"/>
        <v>#REF!</v>
      </c>
    </row>
    <row r="887" spans="1:8" ht="12.75" hidden="1" x14ac:dyDescent="0.2">
      <c r="A887" s="47" t="e">
        <f t="shared" ref="A887:H887" si="436">#REF!</f>
        <v>#REF!</v>
      </c>
      <c r="B887" s="47" t="e">
        <f t="shared" si="436"/>
        <v>#REF!</v>
      </c>
      <c r="C887" s="47" t="e">
        <f t="shared" si="436"/>
        <v>#REF!</v>
      </c>
      <c r="D887" s="47" t="e">
        <f t="shared" si="436"/>
        <v>#REF!</v>
      </c>
      <c r="E887" s="47" t="e">
        <f t="shared" si="436"/>
        <v>#REF!</v>
      </c>
      <c r="F887" s="47" t="e">
        <f t="shared" si="436"/>
        <v>#REF!</v>
      </c>
      <c r="G887" s="47" t="e">
        <f t="shared" si="436"/>
        <v>#REF!</v>
      </c>
      <c r="H887" s="47" t="e">
        <f t="shared" si="436"/>
        <v>#REF!</v>
      </c>
    </row>
    <row r="888" spans="1:8" ht="12.75" hidden="1" x14ac:dyDescent="0.2">
      <c r="A888" s="47" t="e">
        <f t="shared" ref="A888:H888" si="437">#REF!</f>
        <v>#REF!</v>
      </c>
      <c r="B888" s="47" t="e">
        <f t="shared" si="437"/>
        <v>#REF!</v>
      </c>
      <c r="C888" s="47" t="e">
        <f t="shared" si="437"/>
        <v>#REF!</v>
      </c>
      <c r="D888" s="47" t="e">
        <f t="shared" si="437"/>
        <v>#REF!</v>
      </c>
      <c r="E888" s="47" t="e">
        <f t="shared" si="437"/>
        <v>#REF!</v>
      </c>
      <c r="F888" s="47" t="e">
        <f t="shared" si="437"/>
        <v>#REF!</v>
      </c>
      <c r="G888" s="47" t="e">
        <f t="shared" si="437"/>
        <v>#REF!</v>
      </c>
      <c r="H888" s="47" t="e">
        <f t="shared" si="437"/>
        <v>#REF!</v>
      </c>
    </row>
    <row r="889" spans="1:8" ht="12.75" hidden="1" x14ac:dyDescent="0.2">
      <c r="A889" s="47" t="e">
        <f t="shared" ref="A889:H889" si="438">#REF!</f>
        <v>#REF!</v>
      </c>
      <c r="B889" s="47" t="e">
        <f t="shared" si="438"/>
        <v>#REF!</v>
      </c>
      <c r="C889" s="47" t="e">
        <f t="shared" si="438"/>
        <v>#REF!</v>
      </c>
      <c r="D889" s="47" t="e">
        <f t="shared" si="438"/>
        <v>#REF!</v>
      </c>
      <c r="E889" s="47" t="e">
        <f t="shared" si="438"/>
        <v>#REF!</v>
      </c>
      <c r="F889" s="47" t="e">
        <f t="shared" si="438"/>
        <v>#REF!</v>
      </c>
      <c r="G889" s="47" t="e">
        <f t="shared" si="438"/>
        <v>#REF!</v>
      </c>
      <c r="H889" s="47" t="e">
        <f t="shared" si="438"/>
        <v>#REF!</v>
      </c>
    </row>
    <row r="890" spans="1:8" ht="12.75" hidden="1" x14ac:dyDescent="0.2">
      <c r="A890" s="47" t="e">
        <f t="shared" ref="A890:H890" si="439">#REF!</f>
        <v>#REF!</v>
      </c>
      <c r="B890" s="47" t="e">
        <f t="shared" si="439"/>
        <v>#REF!</v>
      </c>
      <c r="C890" s="47" t="e">
        <f t="shared" si="439"/>
        <v>#REF!</v>
      </c>
      <c r="D890" s="47" t="e">
        <f t="shared" si="439"/>
        <v>#REF!</v>
      </c>
      <c r="E890" s="47" t="e">
        <f t="shared" si="439"/>
        <v>#REF!</v>
      </c>
      <c r="F890" s="47" t="e">
        <f t="shared" si="439"/>
        <v>#REF!</v>
      </c>
      <c r="G890" s="47" t="e">
        <f t="shared" si="439"/>
        <v>#REF!</v>
      </c>
      <c r="H890" s="47" t="e">
        <f t="shared" si="439"/>
        <v>#REF!</v>
      </c>
    </row>
    <row r="891" spans="1:8" ht="12.75" hidden="1" x14ac:dyDescent="0.2">
      <c r="A891" s="47" t="e">
        <f t="shared" ref="A891:H891" si="440">#REF!</f>
        <v>#REF!</v>
      </c>
      <c r="B891" s="47" t="e">
        <f t="shared" si="440"/>
        <v>#REF!</v>
      </c>
      <c r="C891" s="47" t="e">
        <f t="shared" si="440"/>
        <v>#REF!</v>
      </c>
      <c r="D891" s="47" t="e">
        <f t="shared" si="440"/>
        <v>#REF!</v>
      </c>
      <c r="E891" s="47" t="e">
        <f t="shared" si="440"/>
        <v>#REF!</v>
      </c>
      <c r="F891" s="47" t="e">
        <f t="shared" si="440"/>
        <v>#REF!</v>
      </c>
      <c r="G891" s="47" t="e">
        <f t="shared" si="440"/>
        <v>#REF!</v>
      </c>
      <c r="H891" s="47" t="e">
        <f t="shared" si="440"/>
        <v>#REF!</v>
      </c>
    </row>
    <row r="892" spans="1:8" ht="12.75" hidden="1" x14ac:dyDescent="0.2">
      <c r="A892" s="47" t="e">
        <f t="shared" ref="A892:H892" si="441">#REF!</f>
        <v>#REF!</v>
      </c>
      <c r="B892" s="47" t="e">
        <f t="shared" si="441"/>
        <v>#REF!</v>
      </c>
      <c r="C892" s="47" t="e">
        <f t="shared" si="441"/>
        <v>#REF!</v>
      </c>
      <c r="D892" s="47" t="e">
        <f t="shared" si="441"/>
        <v>#REF!</v>
      </c>
      <c r="E892" s="47" t="e">
        <f t="shared" si="441"/>
        <v>#REF!</v>
      </c>
      <c r="F892" s="47" t="e">
        <f t="shared" si="441"/>
        <v>#REF!</v>
      </c>
      <c r="G892" s="47" t="e">
        <f t="shared" si="441"/>
        <v>#REF!</v>
      </c>
      <c r="H892" s="47" t="e">
        <f t="shared" si="441"/>
        <v>#REF!</v>
      </c>
    </row>
    <row r="893" spans="1:8" ht="12.75" hidden="1" x14ac:dyDescent="0.2">
      <c r="A893" s="47" t="e">
        <f t="shared" ref="A893:H893" si="442">#REF!</f>
        <v>#REF!</v>
      </c>
      <c r="B893" s="47" t="e">
        <f t="shared" si="442"/>
        <v>#REF!</v>
      </c>
      <c r="C893" s="47" t="e">
        <f t="shared" si="442"/>
        <v>#REF!</v>
      </c>
      <c r="D893" s="47" t="e">
        <f t="shared" si="442"/>
        <v>#REF!</v>
      </c>
      <c r="E893" s="47" t="e">
        <f t="shared" si="442"/>
        <v>#REF!</v>
      </c>
      <c r="F893" s="47" t="e">
        <f t="shared" si="442"/>
        <v>#REF!</v>
      </c>
      <c r="G893" s="47" t="e">
        <f t="shared" si="442"/>
        <v>#REF!</v>
      </c>
      <c r="H893" s="47" t="e">
        <f t="shared" si="442"/>
        <v>#REF!</v>
      </c>
    </row>
    <row r="894" spans="1:8" ht="12.75" hidden="1" x14ac:dyDescent="0.2">
      <c r="A894" s="47" t="e">
        <f t="shared" ref="A894:H894" si="443">#REF!</f>
        <v>#REF!</v>
      </c>
      <c r="B894" s="47" t="e">
        <f t="shared" si="443"/>
        <v>#REF!</v>
      </c>
      <c r="C894" s="47" t="e">
        <f t="shared" si="443"/>
        <v>#REF!</v>
      </c>
      <c r="D894" s="47" t="e">
        <f t="shared" si="443"/>
        <v>#REF!</v>
      </c>
      <c r="E894" s="47" t="e">
        <f t="shared" si="443"/>
        <v>#REF!</v>
      </c>
      <c r="F894" s="47" t="e">
        <f t="shared" si="443"/>
        <v>#REF!</v>
      </c>
      <c r="G894" s="47" t="e">
        <f t="shared" si="443"/>
        <v>#REF!</v>
      </c>
      <c r="H894" s="47" t="e">
        <f t="shared" si="443"/>
        <v>#REF!</v>
      </c>
    </row>
    <row r="895" spans="1:8" ht="12.75" hidden="1" x14ac:dyDescent="0.2">
      <c r="A895" s="47" t="e">
        <f t="shared" ref="A895:H895" si="444">#REF!</f>
        <v>#REF!</v>
      </c>
      <c r="B895" s="47" t="e">
        <f t="shared" si="444"/>
        <v>#REF!</v>
      </c>
      <c r="C895" s="47" t="e">
        <f t="shared" si="444"/>
        <v>#REF!</v>
      </c>
      <c r="D895" s="47" t="e">
        <f t="shared" si="444"/>
        <v>#REF!</v>
      </c>
      <c r="E895" s="47" t="e">
        <f t="shared" si="444"/>
        <v>#REF!</v>
      </c>
      <c r="F895" s="47" t="e">
        <f t="shared" si="444"/>
        <v>#REF!</v>
      </c>
      <c r="G895" s="47" t="e">
        <f t="shared" si="444"/>
        <v>#REF!</v>
      </c>
      <c r="H895" s="47" t="e">
        <f t="shared" si="444"/>
        <v>#REF!</v>
      </c>
    </row>
    <row r="896" spans="1:8" ht="12.75" hidden="1" x14ac:dyDescent="0.2">
      <c r="A896" s="47" t="e">
        <f t="shared" ref="A896:H896" si="445">#REF!</f>
        <v>#REF!</v>
      </c>
      <c r="B896" s="47" t="e">
        <f t="shared" si="445"/>
        <v>#REF!</v>
      </c>
      <c r="C896" s="47" t="e">
        <f t="shared" si="445"/>
        <v>#REF!</v>
      </c>
      <c r="D896" s="47" t="e">
        <f t="shared" si="445"/>
        <v>#REF!</v>
      </c>
      <c r="E896" s="47" t="e">
        <f t="shared" si="445"/>
        <v>#REF!</v>
      </c>
      <c r="F896" s="47" t="e">
        <f t="shared" si="445"/>
        <v>#REF!</v>
      </c>
      <c r="G896" s="47" t="e">
        <f t="shared" si="445"/>
        <v>#REF!</v>
      </c>
      <c r="H896" s="47" t="e">
        <f t="shared" si="445"/>
        <v>#REF!</v>
      </c>
    </row>
    <row r="897" spans="1:8" ht="12.75" hidden="1" x14ac:dyDescent="0.2">
      <c r="A897" s="47" t="e">
        <f t="shared" ref="A897:H897" si="446">#REF!</f>
        <v>#REF!</v>
      </c>
      <c r="B897" s="47" t="e">
        <f t="shared" si="446"/>
        <v>#REF!</v>
      </c>
      <c r="C897" s="47" t="e">
        <f t="shared" si="446"/>
        <v>#REF!</v>
      </c>
      <c r="D897" s="47" t="e">
        <f t="shared" si="446"/>
        <v>#REF!</v>
      </c>
      <c r="E897" s="47" t="e">
        <f t="shared" si="446"/>
        <v>#REF!</v>
      </c>
      <c r="F897" s="47" t="e">
        <f t="shared" si="446"/>
        <v>#REF!</v>
      </c>
      <c r="G897" s="47" t="e">
        <f t="shared" si="446"/>
        <v>#REF!</v>
      </c>
      <c r="H897" s="47" t="e">
        <f t="shared" si="446"/>
        <v>#REF!</v>
      </c>
    </row>
    <row r="898" spans="1:8" ht="12.75" hidden="1" x14ac:dyDescent="0.2">
      <c r="A898" s="47" t="e">
        <f t="shared" ref="A898:H898" si="447">#REF!</f>
        <v>#REF!</v>
      </c>
      <c r="B898" s="47" t="e">
        <f t="shared" si="447"/>
        <v>#REF!</v>
      </c>
      <c r="C898" s="47" t="e">
        <f t="shared" si="447"/>
        <v>#REF!</v>
      </c>
      <c r="D898" s="47" t="e">
        <f t="shared" si="447"/>
        <v>#REF!</v>
      </c>
      <c r="E898" s="47" t="e">
        <f t="shared" si="447"/>
        <v>#REF!</v>
      </c>
      <c r="F898" s="47" t="e">
        <f t="shared" si="447"/>
        <v>#REF!</v>
      </c>
      <c r="G898" s="47" t="e">
        <f t="shared" si="447"/>
        <v>#REF!</v>
      </c>
      <c r="H898" s="47" t="e">
        <f t="shared" si="447"/>
        <v>#REF!</v>
      </c>
    </row>
    <row r="899" spans="1:8" ht="12.75" hidden="1" x14ac:dyDescent="0.2">
      <c r="A899" s="47" t="e">
        <f t="shared" ref="A899:H899" si="448">#REF!</f>
        <v>#REF!</v>
      </c>
      <c r="B899" s="47" t="e">
        <f t="shared" si="448"/>
        <v>#REF!</v>
      </c>
      <c r="C899" s="47" t="e">
        <f t="shared" si="448"/>
        <v>#REF!</v>
      </c>
      <c r="D899" s="47" t="e">
        <f t="shared" si="448"/>
        <v>#REF!</v>
      </c>
      <c r="E899" s="47" t="e">
        <f t="shared" si="448"/>
        <v>#REF!</v>
      </c>
      <c r="F899" s="47" t="e">
        <f t="shared" si="448"/>
        <v>#REF!</v>
      </c>
      <c r="G899" s="47" t="e">
        <f t="shared" si="448"/>
        <v>#REF!</v>
      </c>
      <c r="H899" s="47" t="e">
        <f t="shared" si="448"/>
        <v>#REF!</v>
      </c>
    </row>
    <row r="900" spans="1:8" ht="12.75" hidden="1" x14ac:dyDescent="0.2">
      <c r="A900" s="47" t="e">
        <f t="shared" ref="A900:H900" si="449">#REF!</f>
        <v>#REF!</v>
      </c>
      <c r="B900" s="47" t="e">
        <f t="shared" si="449"/>
        <v>#REF!</v>
      </c>
      <c r="C900" s="47" t="e">
        <f t="shared" si="449"/>
        <v>#REF!</v>
      </c>
      <c r="D900" s="47" t="e">
        <f t="shared" si="449"/>
        <v>#REF!</v>
      </c>
      <c r="E900" s="47" t="e">
        <f t="shared" si="449"/>
        <v>#REF!</v>
      </c>
      <c r="F900" s="47" t="e">
        <f t="shared" si="449"/>
        <v>#REF!</v>
      </c>
      <c r="G900" s="47" t="e">
        <f t="shared" si="449"/>
        <v>#REF!</v>
      </c>
      <c r="H900" s="47" t="e">
        <f t="shared" si="449"/>
        <v>#REF!</v>
      </c>
    </row>
    <row r="901" spans="1:8" ht="12.75" hidden="1" x14ac:dyDescent="0.2">
      <c r="A901" s="47" t="e">
        <f t="shared" ref="A901:H901" si="450">#REF!</f>
        <v>#REF!</v>
      </c>
      <c r="B901" s="47" t="e">
        <f t="shared" si="450"/>
        <v>#REF!</v>
      </c>
      <c r="C901" s="47" t="e">
        <f t="shared" si="450"/>
        <v>#REF!</v>
      </c>
      <c r="D901" s="47" t="e">
        <f t="shared" si="450"/>
        <v>#REF!</v>
      </c>
      <c r="E901" s="47" t="e">
        <f t="shared" si="450"/>
        <v>#REF!</v>
      </c>
      <c r="F901" s="47" t="e">
        <f t="shared" si="450"/>
        <v>#REF!</v>
      </c>
      <c r="G901" s="47" t="e">
        <f t="shared" si="450"/>
        <v>#REF!</v>
      </c>
      <c r="H901" s="47" t="e">
        <f t="shared" si="450"/>
        <v>#REF!</v>
      </c>
    </row>
    <row r="902" spans="1:8" ht="12.75" hidden="1" x14ac:dyDescent="0.2">
      <c r="A902" s="47" t="e">
        <f t="shared" ref="A902:H902" si="451">#REF!</f>
        <v>#REF!</v>
      </c>
      <c r="B902" s="47" t="e">
        <f t="shared" si="451"/>
        <v>#REF!</v>
      </c>
      <c r="C902" s="47" t="e">
        <f t="shared" si="451"/>
        <v>#REF!</v>
      </c>
      <c r="D902" s="47" t="e">
        <f t="shared" si="451"/>
        <v>#REF!</v>
      </c>
      <c r="E902" s="47" t="e">
        <f t="shared" si="451"/>
        <v>#REF!</v>
      </c>
      <c r="F902" s="47" t="e">
        <f t="shared" si="451"/>
        <v>#REF!</v>
      </c>
      <c r="G902" s="47" t="e">
        <f t="shared" si="451"/>
        <v>#REF!</v>
      </c>
      <c r="H902" s="47" t="e">
        <f t="shared" si="451"/>
        <v>#REF!</v>
      </c>
    </row>
    <row r="903" spans="1:8" ht="12.75" hidden="1" x14ac:dyDescent="0.2">
      <c r="A903" s="47" t="e">
        <f t="shared" ref="A903:H903" si="452">#REF!</f>
        <v>#REF!</v>
      </c>
      <c r="B903" s="47" t="e">
        <f t="shared" si="452"/>
        <v>#REF!</v>
      </c>
      <c r="C903" s="47" t="e">
        <f t="shared" si="452"/>
        <v>#REF!</v>
      </c>
      <c r="D903" s="47" t="e">
        <f t="shared" si="452"/>
        <v>#REF!</v>
      </c>
      <c r="E903" s="47" t="e">
        <f t="shared" si="452"/>
        <v>#REF!</v>
      </c>
      <c r="F903" s="47" t="e">
        <f t="shared" si="452"/>
        <v>#REF!</v>
      </c>
      <c r="G903" s="47" t="e">
        <f t="shared" si="452"/>
        <v>#REF!</v>
      </c>
      <c r="H903" s="47" t="e">
        <f t="shared" si="452"/>
        <v>#REF!</v>
      </c>
    </row>
    <row r="904" spans="1:8" ht="12.75" hidden="1" x14ac:dyDescent="0.2">
      <c r="A904" s="47" t="e">
        <f t="shared" ref="A904:H904" si="453">#REF!</f>
        <v>#REF!</v>
      </c>
      <c r="B904" s="47" t="e">
        <f t="shared" si="453"/>
        <v>#REF!</v>
      </c>
      <c r="C904" s="47" t="e">
        <f t="shared" si="453"/>
        <v>#REF!</v>
      </c>
      <c r="D904" s="47" t="e">
        <f t="shared" si="453"/>
        <v>#REF!</v>
      </c>
      <c r="E904" s="47" t="e">
        <f t="shared" si="453"/>
        <v>#REF!</v>
      </c>
      <c r="F904" s="47" t="e">
        <f t="shared" si="453"/>
        <v>#REF!</v>
      </c>
      <c r="G904" s="47" t="e">
        <f t="shared" si="453"/>
        <v>#REF!</v>
      </c>
      <c r="H904" s="47" t="e">
        <f t="shared" si="453"/>
        <v>#REF!</v>
      </c>
    </row>
    <row r="905" spans="1:8" ht="12.75" hidden="1" x14ac:dyDescent="0.2">
      <c r="A905" s="47" t="e">
        <f t="shared" ref="A905:H905" si="454">#REF!</f>
        <v>#REF!</v>
      </c>
      <c r="B905" s="47" t="e">
        <f t="shared" si="454"/>
        <v>#REF!</v>
      </c>
      <c r="C905" s="47" t="e">
        <f t="shared" si="454"/>
        <v>#REF!</v>
      </c>
      <c r="D905" s="47" t="e">
        <f t="shared" si="454"/>
        <v>#REF!</v>
      </c>
      <c r="E905" s="47" t="e">
        <f t="shared" si="454"/>
        <v>#REF!</v>
      </c>
      <c r="F905" s="47" t="e">
        <f t="shared" si="454"/>
        <v>#REF!</v>
      </c>
      <c r="G905" s="47" t="e">
        <f t="shared" si="454"/>
        <v>#REF!</v>
      </c>
      <c r="H905" s="47" t="e">
        <f t="shared" si="454"/>
        <v>#REF!</v>
      </c>
    </row>
    <row r="906" spans="1:8" ht="12.75" hidden="1" x14ac:dyDescent="0.2">
      <c r="A906" s="47" t="e">
        <f t="shared" ref="A906:H906" si="455">#REF!</f>
        <v>#REF!</v>
      </c>
      <c r="B906" s="47" t="e">
        <f t="shared" si="455"/>
        <v>#REF!</v>
      </c>
      <c r="C906" s="47" t="e">
        <f t="shared" si="455"/>
        <v>#REF!</v>
      </c>
      <c r="D906" s="47" t="e">
        <f t="shared" si="455"/>
        <v>#REF!</v>
      </c>
      <c r="E906" s="47" t="e">
        <f t="shared" si="455"/>
        <v>#REF!</v>
      </c>
      <c r="F906" s="47" t="e">
        <f t="shared" si="455"/>
        <v>#REF!</v>
      </c>
      <c r="G906" s="47" t="e">
        <f t="shared" si="455"/>
        <v>#REF!</v>
      </c>
      <c r="H906" s="47" t="e">
        <f t="shared" si="455"/>
        <v>#REF!</v>
      </c>
    </row>
    <row r="907" spans="1:8" ht="12.75" hidden="1" x14ac:dyDescent="0.2">
      <c r="A907" s="47" t="e">
        <f t="shared" ref="A907:H907" si="456">#REF!</f>
        <v>#REF!</v>
      </c>
      <c r="B907" s="47" t="e">
        <f t="shared" si="456"/>
        <v>#REF!</v>
      </c>
      <c r="C907" s="47" t="e">
        <f t="shared" si="456"/>
        <v>#REF!</v>
      </c>
      <c r="D907" s="47" t="e">
        <f t="shared" si="456"/>
        <v>#REF!</v>
      </c>
      <c r="E907" s="47" t="e">
        <f t="shared" si="456"/>
        <v>#REF!</v>
      </c>
      <c r="F907" s="47" t="e">
        <f t="shared" si="456"/>
        <v>#REF!</v>
      </c>
      <c r="G907" s="47" t="e">
        <f t="shared" si="456"/>
        <v>#REF!</v>
      </c>
      <c r="H907" s="47" t="e">
        <f t="shared" si="456"/>
        <v>#REF!</v>
      </c>
    </row>
    <row r="908" spans="1:8" ht="12.75" hidden="1" x14ac:dyDescent="0.2">
      <c r="A908" s="47" t="e">
        <f t="shared" ref="A908:H908" si="457">#REF!</f>
        <v>#REF!</v>
      </c>
      <c r="B908" s="47" t="e">
        <f t="shared" si="457"/>
        <v>#REF!</v>
      </c>
      <c r="C908" s="47" t="e">
        <f t="shared" si="457"/>
        <v>#REF!</v>
      </c>
      <c r="D908" s="47" t="e">
        <f t="shared" si="457"/>
        <v>#REF!</v>
      </c>
      <c r="E908" s="47" t="e">
        <f t="shared" si="457"/>
        <v>#REF!</v>
      </c>
      <c r="F908" s="47" t="e">
        <f t="shared" si="457"/>
        <v>#REF!</v>
      </c>
      <c r="G908" s="47" t="e">
        <f t="shared" si="457"/>
        <v>#REF!</v>
      </c>
      <c r="H908" s="47" t="e">
        <f t="shared" si="457"/>
        <v>#REF!</v>
      </c>
    </row>
    <row r="909" spans="1:8" ht="12.75" hidden="1" x14ac:dyDescent="0.2">
      <c r="A909" s="47" t="e">
        <f t="shared" ref="A909:H909" si="458">#REF!</f>
        <v>#REF!</v>
      </c>
      <c r="B909" s="47" t="e">
        <f t="shared" si="458"/>
        <v>#REF!</v>
      </c>
      <c r="C909" s="47" t="e">
        <f t="shared" si="458"/>
        <v>#REF!</v>
      </c>
      <c r="D909" s="47" t="e">
        <f t="shared" si="458"/>
        <v>#REF!</v>
      </c>
      <c r="E909" s="47" t="e">
        <f t="shared" si="458"/>
        <v>#REF!</v>
      </c>
      <c r="F909" s="47" t="e">
        <f t="shared" si="458"/>
        <v>#REF!</v>
      </c>
      <c r="G909" s="47" t="e">
        <f t="shared" si="458"/>
        <v>#REF!</v>
      </c>
      <c r="H909" s="47" t="e">
        <f t="shared" si="458"/>
        <v>#REF!</v>
      </c>
    </row>
    <row r="910" spans="1:8" ht="12.75" hidden="1" x14ac:dyDescent="0.2">
      <c r="A910" s="47" t="e">
        <f t="shared" ref="A910:H910" si="459">#REF!</f>
        <v>#REF!</v>
      </c>
      <c r="B910" s="47" t="e">
        <f t="shared" si="459"/>
        <v>#REF!</v>
      </c>
      <c r="C910" s="47" t="e">
        <f t="shared" si="459"/>
        <v>#REF!</v>
      </c>
      <c r="D910" s="47" t="e">
        <f t="shared" si="459"/>
        <v>#REF!</v>
      </c>
      <c r="E910" s="47" t="e">
        <f t="shared" si="459"/>
        <v>#REF!</v>
      </c>
      <c r="F910" s="47" t="e">
        <f t="shared" si="459"/>
        <v>#REF!</v>
      </c>
      <c r="G910" s="47" t="e">
        <f t="shared" si="459"/>
        <v>#REF!</v>
      </c>
      <c r="H910" s="47" t="e">
        <f t="shared" si="459"/>
        <v>#REF!</v>
      </c>
    </row>
    <row r="911" spans="1:8" ht="12.75" hidden="1" x14ac:dyDescent="0.2">
      <c r="A911" s="47" t="e">
        <f t="shared" ref="A911:H911" si="460">#REF!</f>
        <v>#REF!</v>
      </c>
      <c r="B911" s="47" t="e">
        <f t="shared" si="460"/>
        <v>#REF!</v>
      </c>
      <c r="C911" s="47" t="e">
        <f t="shared" si="460"/>
        <v>#REF!</v>
      </c>
      <c r="D911" s="47" t="e">
        <f t="shared" si="460"/>
        <v>#REF!</v>
      </c>
      <c r="E911" s="47" t="e">
        <f t="shared" si="460"/>
        <v>#REF!</v>
      </c>
      <c r="F911" s="47" t="e">
        <f t="shared" si="460"/>
        <v>#REF!</v>
      </c>
      <c r="G911" s="47" t="e">
        <f t="shared" si="460"/>
        <v>#REF!</v>
      </c>
      <c r="H911" s="47" t="e">
        <f t="shared" si="460"/>
        <v>#REF!</v>
      </c>
    </row>
    <row r="912" spans="1:8" ht="12.75" hidden="1" x14ac:dyDescent="0.2">
      <c r="A912" s="47" t="e">
        <f t="shared" ref="A912:H912" si="461">#REF!</f>
        <v>#REF!</v>
      </c>
      <c r="B912" s="47" t="e">
        <f t="shared" si="461"/>
        <v>#REF!</v>
      </c>
      <c r="C912" s="47" t="e">
        <f t="shared" si="461"/>
        <v>#REF!</v>
      </c>
      <c r="D912" s="47" t="e">
        <f t="shared" si="461"/>
        <v>#REF!</v>
      </c>
      <c r="E912" s="47" t="e">
        <f t="shared" si="461"/>
        <v>#REF!</v>
      </c>
      <c r="F912" s="47" t="e">
        <f t="shared" si="461"/>
        <v>#REF!</v>
      </c>
      <c r="G912" s="47" t="e">
        <f t="shared" si="461"/>
        <v>#REF!</v>
      </c>
      <c r="H912" s="47" t="e">
        <f t="shared" si="461"/>
        <v>#REF!</v>
      </c>
    </row>
    <row r="913" spans="1:8" ht="12.75" hidden="1" x14ac:dyDescent="0.2">
      <c r="A913" s="47" t="e">
        <f t="shared" ref="A913:H913" si="462">#REF!</f>
        <v>#REF!</v>
      </c>
      <c r="B913" s="47" t="e">
        <f t="shared" si="462"/>
        <v>#REF!</v>
      </c>
      <c r="C913" s="47" t="e">
        <f t="shared" si="462"/>
        <v>#REF!</v>
      </c>
      <c r="D913" s="47" t="e">
        <f t="shared" si="462"/>
        <v>#REF!</v>
      </c>
      <c r="E913" s="47" t="e">
        <f t="shared" si="462"/>
        <v>#REF!</v>
      </c>
      <c r="F913" s="47" t="e">
        <f t="shared" si="462"/>
        <v>#REF!</v>
      </c>
      <c r="G913" s="47" t="e">
        <f t="shared" si="462"/>
        <v>#REF!</v>
      </c>
      <c r="H913" s="47" t="e">
        <f t="shared" si="462"/>
        <v>#REF!</v>
      </c>
    </row>
    <row r="914" spans="1:8" ht="12.75" hidden="1" x14ac:dyDescent="0.2">
      <c r="A914" s="47" t="e">
        <f t="shared" ref="A914:H914" si="463">#REF!</f>
        <v>#REF!</v>
      </c>
      <c r="B914" s="47" t="e">
        <f t="shared" si="463"/>
        <v>#REF!</v>
      </c>
      <c r="C914" s="47" t="e">
        <f t="shared" si="463"/>
        <v>#REF!</v>
      </c>
      <c r="D914" s="47" t="e">
        <f t="shared" si="463"/>
        <v>#REF!</v>
      </c>
      <c r="E914" s="47" t="e">
        <f t="shared" si="463"/>
        <v>#REF!</v>
      </c>
      <c r="F914" s="47" t="e">
        <f t="shared" si="463"/>
        <v>#REF!</v>
      </c>
      <c r="G914" s="47" t="e">
        <f t="shared" si="463"/>
        <v>#REF!</v>
      </c>
      <c r="H914" s="47" t="e">
        <f t="shared" si="463"/>
        <v>#REF!</v>
      </c>
    </row>
    <row r="915" spans="1:8" ht="12.75" hidden="1" x14ac:dyDescent="0.2">
      <c r="A915" s="47" t="e">
        <f t="shared" ref="A915:H915" si="464">#REF!</f>
        <v>#REF!</v>
      </c>
      <c r="B915" s="47" t="e">
        <f t="shared" si="464"/>
        <v>#REF!</v>
      </c>
      <c r="C915" s="47" t="e">
        <f t="shared" si="464"/>
        <v>#REF!</v>
      </c>
      <c r="D915" s="47" t="e">
        <f t="shared" si="464"/>
        <v>#REF!</v>
      </c>
      <c r="E915" s="47" t="e">
        <f t="shared" si="464"/>
        <v>#REF!</v>
      </c>
      <c r="F915" s="47" t="e">
        <f t="shared" si="464"/>
        <v>#REF!</v>
      </c>
      <c r="G915" s="47" t="e">
        <f t="shared" si="464"/>
        <v>#REF!</v>
      </c>
      <c r="H915" s="47" t="e">
        <f t="shared" si="464"/>
        <v>#REF!</v>
      </c>
    </row>
    <row r="916" spans="1:8" ht="12.75" hidden="1" x14ac:dyDescent="0.2">
      <c r="A916" s="47" t="e">
        <f t="shared" ref="A916:H916" si="465">#REF!</f>
        <v>#REF!</v>
      </c>
      <c r="B916" s="47" t="e">
        <f t="shared" si="465"/>
        <v>#REF!</v>
      </c>
      <c r="C916" s="47" t="e">
        <f t="shared" si="465"/>
        <v>#REF!</v>
      </c>
      <c r="D916" s="47" t="e">
        <f t="shared" si="465"/>
        <v>#REF!</v>
      </c>
      <c r="E916" s="47" t="e">
        <f t="shared" si="465"/>
        <v>#REF!</v>
      </c>
      <c r="F916" s="47" t="e">
        <f t="shared" si="465"/>
        <v>#REF!</v>
      </c>
      <c r="G916" s="47" t="e">
        <f t="shared" si="465"/>
        <v>#REF!</v>
      </c>
      <c r="H916" s="47" t="e">
        <f t="shared" si="465"/>
        <v>#REF!</v>
      </c>
    </row>
    <row r="917" spans="1:8" ht="12.75" hidden="1" x14ac:dyDescent="0.2">
      <c r="A917" s="47" t="e">
        <f t="shared" ref="A917:H917" si="466">#REF!</f>
        <v>#REF!</v>
      </c>
      <c r="B917" s="47" t="e">
        <f t="shared" si="466"/>
        <v>#REF!</v>
      </c>
      <c r="C917" s="47" t="e">
        <f t="shared" si="466"/>
        <v>#REF!</v>
      </c>
      <c r="D917" s="47" t="e">
        <f t="shared" si="466"/>
        <v>#REF!</v>
      </c>
      <c r="E917" s="47" t="e">
        <f t="shared" si="466"/>
        <v>#REF!</v>
      </c>
      <c r="F917" s="47" t="e">
        <f t="shared" si="466"/>
        <v>#REF!</v>
      </c>
      <c r="G917" s="47" t="e">
        <f t="shared" si="466"/>
        <v>#REF!</v>
      </c>
      <c r="H917" s="47" t="e">
        <f t="shared" si="466"/>
        <v>#REF!</v>
      </c>
    </row>
    <row r="918" spans="1:8" ht="12.75" hidden="1" x14ac:dyDescent="0.2">
      <c r="A918" s="47" t="e">
        <f t="shared" ref="A918:H918" si="467">#REF!</f>
        <v>#REF!</v>
      </c>
      <c r="B918" s="47" t="e">
        <f t="shared" si="467"/>
        <v>#REF!</v>
      </c>
      <c r="C918" s="47" t="e">
        <f t="shared" si="467"/>
        <v>#REF!</v>
      </c>
      <c r="D918" s="47" t="e">
        <f t="shared" si="467"/>
        <v>#REF!</v>
      </c>
      <c r="E918" s="47" t="e">
        <f t="shared" si="467"/>
        <v>#REF!</v>
      </c>
      <c r="F918" s="47" t="e">
        <f t="shared" si="467"/>
        <v>#REF!</v>
      </c>
      <c r="G918" s="47" t="e">
        <f t="shared" si="467"/>
        <v>#REF!</v>
      </c>
      <c r="H918" s="47" t="e">
        <f t="shared" si="467"/>
        <v>#REF!</v>
      </c>
    </row>
    <row r="919" spans="1:8" ht="12.75" hidden="1" x14ac:dyDescent="0.2">
      <c r="A919" s="47" t="e">
        <f t="shared" ref="A919:H919" si="468">#REF!</f>
        <v>#REF!</v>
      </c>
      <c r="B919" s="47" t="e">
        <f t="shared" si="468"/>
        <v>#REF!</v>
      </c>
      <c r="C919" s="47" t="e">
        <f t="shared" si="468"/>
        <v>#REF!</v>
      </c>
      <c r="D919" s="47" t="e">
        <f t="shared" si="468"/>
        <v>#REF!</v>
      </c>
      <c r="E919" s="47" t="e">
        <f t="shared" si="468"/>
        <v>#REF!</v>
      </c>
      <c r="F919" s="47" t="e">
        <f t="shared" si="468"/>
        <v>#REF!</v>
      </c>
      <c r="G919" s="47" t="e">
        <f t="shared" si="468"/>
        <v>#REF!</v>
      </c>
      <c r="H919" s="47" t="e">
        <f t="shared" si="468"/>
        <v>#REF!</v>
      </c>
    </row>
    <row r="920" spans="1:8" ht="12.75" hidden="1" x14ac:dyDescent="0.2">
      <c r="A920" s="47" t="e">
        <f t="shared" ref="A920:H920" si="469">#REF!</f>
        <v>#REF!</v>
      </c>
      <c r="B920" s="47" t="e">
        <f t="shared" si="469"/>
        <v>#REF!</v>
      </c>
      <c r="C920" s="47" t="e">
        <f t="shared" si="469"/>
        <v>#REF!</v>
      </c>
      <c r="D920" s="47" t="e">
        <f t="shared" si="469"/>
        <v>#REF!</v>
      </c>
      <c r="E920" s="47" t="e">
        <f t="shared" si="469"/>
        <v>#REF!</v>
      </c>
      <c r="F920" s="47" t="e">
        <f t="shared" si="469"/>
        <v>#REF!</v>
      </c>
      <c r="G920" s="47" t="e">
        <f t="shared" si="469"/>
        <v>#REF!</v>
      </c>
      <c r="H920" s="47" t="e">
        <f t="shared" si="469"/>
        <v>#REF!</v>
      </c>
    </row>
    <row r="921" spans="1:8" ht="12.75" hidden="1" x14ac:dyDescent="0.2">
      <c r="A921" s="47" t="e">
        <f t="shared" ref="A921:H921" si="470">#REF!</f>
        <v>#REF!</v>
      </c>
      <c r="B921" s="47" t="e">
        <f t="shared" si="470"/>
        <v>#REF!</v>
      </c>
      <c r="C921" s="47" t="e">
        <f t="shared" si="470"/>
        <v>#REF!</v>
      </c>
      <c r="D921" s="47" t="e">
        <f t="shared" si="470"/>
        <v>#REF!</v>
      </c>
      <c r="E921" s="47" t="e">
        <f t="shared" si="470"/>
        <v>#REF!</v>
      </c>
      <c r="F921" s="47" t="e">
        <f t="shared" si="470"/>
        <v>#REF!</v>
      </c>
      <c r="G921" s="47" t="e">
        <f t="shared" si="470"/>
        <v>#REF!</v>
      </c>
      <c r="H921" s="47" t="e">
        <f t="shared" si="470"/>
        <v>#REF!</v>
      </c>
    </row>
    <row r="922" spans="1:8" ht="12.75" hidden="1" x14ac:dyDescent="0.2">
      <c r="A922" s="47" t="e">
        <f t="shared" ref="A922:H922" si="471">#REF!</f>
        <v>#REF!</v>
      </c>
      <c r="B922" s="47" t="e">
        <f t="shared" si="471"/>
        <v>#REF!</v>
      </c>
      <c r="C922" s="47" t="e">
        <f t="shared" si="471"/>
        <v>#REF!</v>
      </c>
      <c r="D922" s="47" t="e">
        <f t="shared" si="471"/>
        <v>#REF!</v>
      </c>
      <c r="E922" s="47" t="e">
        <f t="shared" si="471"/>
        <v>#REF!</v>
      </c>
      <c r="F922" s="47" t="e">
        <f t="shared" si="471"/>
        <v>#REF!</v>
      </c>
      <c r="G922" s="47" t="e">
        <f t="shared" si="471"/>
        <v>#REF!</v>
      </c>
      <c r="H922" s="47" t="e">
        <f t="shared" si="471"/>
        <v>#REF!</v>
      </c>
    </row>
    <row r="923" spans="1:8" ht="12.75" hidden="1" x14ac:dyDescent="0.2">
      <c r="A923" s="47" t="e">
        <f t="shared" ref="A923:H923" si="472">#REF!</f>
        <v>#REF!</v>
      </c>
      <c r="B923" s="47" t="e">
        <f t="shared" si="472"/>
        <v>#REF!</v>
      </c>
      <c r="C923" s="47" t="e">
        <f t="shared" si="472"/>
        <v>#REF!</v>
      </c>
      <c r="D923" s="47" t="e">
        <f t="shared" si="472"/>
        <v>#REF!</v>
      </c>
      <c r="E923" s="47" t="e">
        <f t="shared" si="472"/>
        <v>#REF!</v>
      </c>
      <c r="F923" s="47" t="e">
        <f t="shared" si="472"/>
        <v>#REF!</v>
      </c>
      <c r="G923" s="47" t="e">
        <f t="shared" si="472"/>
        <v>#REF!</v>
      </c>
      <c r="H923" s="47" t="e">
        <f t="shared" si="472"/>
        <v>#REF!</v>
      </c>
    </row>
    <row r="924" spans="1:8" ht="12.75" hidden="1" x14ac:dyDescent="0.2">
      <c r="A924" s="47" t="e">
        <f t="shared" ref="A924:H924" si="473">#REF!</f>
        <v>#REF!</v>
      </c>
      <c r="B924" s="47" t="e">
        <f t="shared" si="473"/>
        <v>#REF!</v>
      </c>
      <c r="C924" s="47" t="e">
        <f t="shared" si="473"/>
        <v>#REF!</v>
      </c>
      <c r="D924" s="47" t="e">
        <f t="shared" si="473"/>
        <v>#REF!</v>
      </c>
      <c r="E924" s="47" t="e">
        <f t="shared" si="473"/>
        <v>#REF!</v>
      </c>
      <c r="F924" s="47" t="e">
        <f t="shared" si="473"/>
        <v>#REF!</v>
      </c>
      <c r="G924" s="47" t="e">
        <f t="shared" si="473"/>
        <v>#REF!</v>
      </c>
      <c r="H924" s="47" t="e">
        <f t="shared" si="473"/>
        <v>#REF!</v>
      </c>
    </row>
    <row r="925" spans="1:8" ht="12.75" hidden="1" x14ac:dyDescent="0.2">
      <c r="A925" s="47" t="e">
        <f t="shared" ref="A925:H925" si="474">#REF!</f>
        <v>#REF!</v>
      </c>
      <c r="B925" s="47" t="e">
        <f t="shared" si="474"/>
        <v>#REF!</v>
      </c>
      <c r="C925" s="47" t="e">
        <f t="shared" si="474"/>
        <v>#REF!</v>
      </c>
      <c r="D925" s="47" t="e">
        <f t="shared" si="474"/>
        <v>#REF!</v>
      </c>
      <c r="E925" s="47" t="e">
        <f t="shared" si="474"/>
        <v>#REF!</v>
      </c>
      <c r="F925" s="47" t="e">
        <f t="shared" si="474"/>
        <v>#REF!</v>
      </c>
      <c r="G925" s="47" t="e">
        <f t="shared" si="474"/>
        <v>#REF!</v>
      </c>
      <c r="H925" s="47" t="e">
        <f t="shared" si="474"/>
        <v>#REF!</v>
      </c>
    </row>
    <row r="926" spans="1:8" ht="12.75" hidden="1" x14ac:dyDescent="0.2">
      <c r="A926" s="47" t="e">
        <f t="shared" ref="A926:H926" si="475">#REF!</f>
        <v>#REF!</v>
      </c>
      <c r="B926" s="47" t="e">
        <f t="shared" si="475"/>
        <v>#REF!</v>
      </c>
      <c r="C926" s="47" t="e">
        <f t="shared" si="475"/>
        <v>#REF!</v>
      </c>
      <c r="D926" s="47" t="e">
        <f t="shared" si="475"/>
        <v>#REF!</v>
      </c>
      <c r="E926" s="47" t="e">
        <f t="shared" si="475"/>
        <v>#REF!</v>
      </c>
      <c r="F926" s="47" t="e">
        <f t="shared" si="475"/>
        <v>#REF!</v>
      </c>
      <c r="G926" s="47" t="e">
        <f t="shared" si="475"/>
        <v>#REF!</v>
      </c>
      <c r="H926" s="47" t="e">
        <f t="shared" si="475"/>
        <v>#REF!</v>
      </c>
    </row>
    <row r="927" spans="1:8" ht="12.75" hidden="1" x14ac:dyDescent="0.2">
      <c r="A927" s="47" t="e">
        <f t="shared" ref="A927:H927" si="476">#REF!</f>
        <v>#REF!</v>
      </c>
      <c r="B927" s="47" t="e">
        <f t="shared" si="476"/>
        <v>#REF!</v>
      </c>
      <c r="C927" s="47" t="e">
        <f t="shared" si="476"/>
        <v>#REF!</v>
      </c>
      <c r="D927" s="47" t="e">
        <f t="shared" si="476"/>
        <v>#REF!</v>
      </c>
      <c r="E927" s="47" t="e">
        <f t="shared" si="476"/>
        <v>#REF!</v>
      </c>
      <c r="F927" s="47" t="e">
        <f t="shared" si="476"/>
        <v>#REF!</v>
      </c>
      <c r="G927" s="47" t="e">
        <f t="shared" si="476"/>
        <v>#REF!</v>
      </c>
      <c r="H927" s="47" t="e">
        <f t="shared" si="476"/>
        <v>#REF!</v>
      </c>
    </row>
    <row r="928" spans="1:8" ht="12.75" hidden="1" x14ac:dyDescent="0.2">
      <c r="A928" s="47" t="e">
        <f t="shared" ref="A928:H928" si="477">#REF!</f>
        <v>#REF!</v>
      </c>
      <c r="B928" s="47" t="e">
        <f t="shared" si="477"/>
        <v>#REF!</v>
      </c>
      <c r="C928" s="47" t="e">
        <f t="shared" si="477"/>
        <v>#REF!</v>
      </c>
      <c r="D928" s="47" t="e">
        <f t="shared" si="477"/>
        <v>#REF!</v>
      </c>
      <c r="E928" s="47" t="e">
        <f t="shared" si="477"/>
        <v>#REF!</v>
      </c>
      <c r="F928" s="47" t="e">
        <f t="shared" si="477"/>
        <v>#REF!</v>
      </c>
      <c r="G928" s="47" t="e">
        <f t="shared" si="477"/>
        <v>#REF!</v>
      </c>
      <c r="H928" s="47" t="e">
        <f t="shared" si="477"/>
        <v>#REF!</v>
      </c>
    </row>
    <row r="929" spans="1:8" ht="12.75" hidden="1" x14ac:dyDescent="0.2">
      <c r="A929" s="47" t="e">
        <f t="shared" ref="A929:H929" si="478">#REF!</f>
        <v>#REF!</v>
      </c>
      <c r="B929" s="47" t="e">
        <f t="shared" si="478"/>
        <v>#REF!</v>
      </c>
      <c r="C929" s="47" t="e">
        <f t="shared" si="478"/>
        <v>#REF!</v>
      </c>
      <c r="D929" s="47" t="e">
        <f t="shared" si="478"/>
        <v>#REF!</v>
      </c>
      <c r="E929" s="47" t="e">
        <f t="shared" si="478"/>
        <v>#REF!</v>
      </c>
      <c r="F929" s="47" t="e">
        <f t="shared" si="478"/>
        <v>#REF!</v>
      </c>
      <c r="G929" s="47" t="e">
        <f t="shared" si="478"/>
        <v>#REF!</v>
      </c>
      <c r="H929" s="47" t="e">
        <f t="shared" si="478"/>
        <v>#REF!</v>
      </c>
    </row>
    <row r="930" spans="1:8" ht="12.75" hidden="1" x14ac:dyDescent="0.2">
      <c r="A930" s="47" t="e">
        <f t="shared" ref="A930:H930" si="479">#REF!</f>
        <v>#REF!</v>
      </c>
      <c r="B930" s="47" t="e">
        <f t="shared" si="479"/>
        <v>#REF!</v>
      </c>
      <c r="C930" s="47" t="e">
        <f t="shared" si="479"/>
        <v>#REF!</v>
      </c>
      <c r="D930" s="47" t="e">
        <f t="shared" si="479"/>
        <v>#REF!</v>
      </c>
      <c r="E930" s="47" t="e">
        <f t="shared" si="479"/>
        <v>#REF!</v>
      </c>
      <c r="F930" s="47" t="e">
        <f t="shared" si="479"/>
        <v>#REF!</v>
      </c>
      <c r="G930" s="47" t="e">
        <f t="shared" si="479"/>
        <v>#REF!</v>
      </c>
      <c r="H930" s="47" t="e">
        <f t="shared" si="479"/>
        <v>#REF!</v>
      </c>
    </row>
    <row r="931" spans="1:8" ht="12.75" hidden="1" x14ac:dyDescent="0.2">
      <c r="A931" s="47" t="e">
        <f t="shared" ref="A931:H931" si="480">#REF!</f>
        <v>#REF!</v>
      </c>
      <c r="B931" s="47" t="e">
        <f t="shared" si="480"/>
        <v>#REF!</v>
      </c>
      <c r="C931" s="47" t="e">
        <f t="shared" si="480"/>
        <v>#REF!</v>
      </c>
      <c r="D931" s="47" t="e">
        <f t="shared" si="480"/>
        <v>#REF!</v>
      </c>
      <c r="E931" s="47" t="e">
        <f t="shared" si="480"/>
        <v>#REF!</v>
      </c>
      <c r="F931" s="47" t="e">
        <f t="shared" si="480"/>
        <v>#REF!</v>
      </c>
      <c r="G931" s="47" t="e">
        <f t="shared" si="480"/>
        <v>#REF!</v>
      </c>
      <c r="H931" s="47" t="e">
        <f t="shared" si="480"/>
        <v>#REF!</v>
      </c>
    </row>
    <row r="932" spans="1:8" ht="12.75" hidden="1" x14ac:dyDescent="0.2">
      <c r="A932" s="47" t="e">
        <f t="shared" ref="A932:H932" si="481">#REF!</f>
        <v>#REF!</v>
      </c>
      <c r="B932" s="47" t="e">
        <f t="shared" si="481"/>
        <v>#REF!</v>
      </c>
      <c r="C932" s="47" t="e">
        <f t="shared" si="481"/>
        <v>#REF!</v>
      </c>
      <c r="D932" s="47" t="e">
        <f t="shared" si="481"/>
        <v>#REF!</v>
      </c>
      <c r="E932" s="47" t="e">
        <f t="shared" si="481"/>
        <v>#REF!</v>
      </c>
      <c r="F932" s="47" t="e">
        <f t="shared" si="481"/>
        <v>#REF!</v>
      </c>
      <c r="G932" s="47" t="e">
        <f t="shared" si="481"/>
        <v>#REF!</v>
      </c>
      <c r="H932" s="47" t="e">
        <f t="shared" si="481"/>
        <v>#REF!</v>
      </c>
    </row>
    <row r="933" spans="1:8" ht="12.75" hidden="1" x14ac:dyDescent="0.2">
      <c r="A933" s="47" t="e">
        <f t="shared" ref="A933:H933" si="482">#REF!</f>
        <v>#REF!</v>
      </c>
      <c r="B933" s="47" t="e">
        <f t="shared" si="482"/>
        <v>#REF!</v>
      </c>
      <c r="C933" s="47" t="e">
        <f t="shared" si="482"/>
        <v>#REF!</v>
      </c>
      <c r="D933" s="47" t="e">
        <f t="shared" si="482"/>
        <v>#REF!</v>
      </c>
      <c r="E933" s="47" t="e">
        <f t="shared" si="482"/>
        <v>#REF!</v>
      </c>
      <c r="F933" s="47" t="e">
        <f t="shared" si="482"/>
        <v>#REF!</v>
      </c>
      <c r="G933" s="47" t="e">
        <f t="shared" si="482"/>
        <v>#REF!</v>
      </c>
      <c r="H933" s="47" t="e">
        <f t="shared" si="482"/>
        <v>#REF!</v>
      </c>
    </row>
    <row r="934" spans="1:8" ht="12.75" hidden="1" x14ac:dyDescent="0.2">
      <c r="A934" s="47" t="e">
        <f t="shared" ref="A934:H934" si="483">#REF!</f>
        <v>#REF!</v>
      </c>
      <c r="B934" s="47" t="e">
        <f t="shared" si="483"/>
        <v>#REF!</v>
      </c>
      <c r="C934" s="47" t="e">
        <f t="shared" si="483"/>
        <v>#REF!</v>
      </c>
      <c r="D934" s="47" t="e">
        <f t="shared" si="483"/>
        <v>#REF!</v>
      </c>
      <c r="E934" s="47" t="e">
        <f t="shared" si="483"/>
        <v>#REF!</v>
      </c>
      <c r="F934" s="47" t="e">
        <f t="shared" si="483"/>
        <v>#REF!</v>
      </c>
      <c r="G934" s="47" t="e">
        <f t="shared" si="483"/>
        <v>#REF!</v>
      </c>
      <c r="H934" s="47" t="e">
        <f t="shared" si="483"/>
        <v>#REF!</v>
      </c>
    </row>
    <row r="935" spans="1:8" ht="12.75" hidden="1" x14ac:dyDescent="0.2">
      <c r="A935" s="47" t="e">
        <f t="shared" ref="A935:H935" si="484">#REF!</f>
        <v>#REF!</v>
      </c>
      <c r="B935" s="47" t="e">
        <f t="shared" si="484"/>
        <v>#REF!</v>
      </c>
      <c r="C935" s="47" t="e">
        <f t="shared" si="484"/>
        <v>#REF!</v>
      </c>
      <c r="D935" s="47" t="e">
        <f t="shared" si="484"/>
        <v>#REF!</v>
      </c>
      <c r="E935" s="47" t="e">
        <f t="shared" si="484"/>
        <v>#REF!</v>
      </c>
      <c r="F935" s="47" t="e">
        <f t="shared" si="484"/>
        <v>#REF!</v>
      </c>
      <c r="G935" s="47" t="e">
        <f t="shared" si="484"/>
        <v>#REF!</v>
      </c>
      <c r="H935" s="47" t="e">
        <f t="shared" si="484"/>
        <v>#REF!</v>
      </c>
    </row>
    <row r="936" spans="1:8" ht="12.75" hidden="1" x14ac:dyDescent="0.2">
      <c r="A936" s="47" t="e">
        <f t="shared" ref="A936:H936" si="485">#REF!</f>
        <v>#REF!</v>
      </c>
      <c r="B936" s="47" t="e">
        <f t="shared" si="485"/>
        <v>#REF!</v>
      </c>
      <c r="C936" s="47" t="e">
        <f t="shared" si="485"/>
        <v>#REF!</v>
      </c>
      <c r="D936" s="47" t="e">
        <f t="shared" si="485"/>
        <v>#REF!</v>
      </c>
      <c r="E936" s="47" t="e">
        <f t="shared" si="485"/>
        <v>#REF!</v>
      </c>
      <c r="F936" s="47" t="e">
        <f t="shared" si="485"/>
        <v>#REF!</v>
      </c>
      <c r="G936" s="47" t="e">
        <f t="shared" si="485"/>
        <v>#REF!</v>
      </c>
      <c r="H936" s="47" t="e">
        <f t="shared" si="485"/>
        <v>#REF!</v>
      </c>
    </row>
    <row r="937" spans="1:8" ht="12.75" hidden="1" x14ac:dyDescent="0.2">
      <c r="A937" s="47" t="e">
        <f t="shared" ref="A937:H937" si="486">#REF!</f>
        <v>#REF!</v>
      </c>
      <c r="B937" s="47" t="e">
        <f t="shared" si="486"/>
        <v>#REF!</v>
      </c>
      <c r="C937" s="47" t="e">
        <f t="shared" si="486"/>
        <v>#REF!</v>
      </c>
      <c r="D937" s="47" t="e">
        <f t="shared" si="486"/>
        <v>#REF!</v>
      </c>
      <c r="E937" s="47" t="e">
        <f t="shared" si="486"/>
        <v>#REF!</v>
      </c>
      <c r="F937" s="47" t="e">
        <f t="shared" si="486"/>
        <v>#REF!</v>
      </c>
      <c r="G937" s="47" t="e">
        <f t="shared" si="486"/>
        <v>#REF!</v>
      </c>
      <c r="H937" s="47" t="e">
        <f t="shared" si="486"/>
        <v>#REF!</v>
      </c>
    </row>
    <row r="938" spans="1:8" ht="12.75" hidden="1" x14ac:dyDescent="0.2">
      <c r="A938" s="47" t="e">
        <f t="shared" ref="A938:H938" si="487">#REF!</f>
        <v>#REF!</v>
      </c>
      <c r="B938" s="47" t="e">
        <f t="shared" si="487"/>
        <v>#REF!</v>
      </c>
      <c r="C938" s="47" t="e">
        <f t="shared" si="487"/>
        <v>#REF!</v>
      </c>
      <c r="D938" s="47" t="e">
        <f t="shared" si="487"/>
        <v>#REF!</v>
      </c>
      <c r="E938" s="47" t="e">
        <f t="shared" si="487"/>
        <v>#REF!</v>
      </c>
      <c r="F938" s="47" t="e">
        <f t="shared" si="487"/>
        <v>#REF!</v>
      </c>
      <c r="G938" s="47" t="e">
        <f t="shared" si="487"/>
        <v>#REF!</v>
      </c>
      <c r="H938" s="47" t="e">
        <f t="shared" si="487"/>
        <v>#REF!</v>
      </c>
    </row>
    <row r="939" spans="1:8" ht="12.75" hidden="1" x14ac:dyDescent="0.2">
      <c r="A939" s="47" t="e">
        <f t="shared" ref="A939:H939" si="488">#REF!</f>
        <v>#REF!</v>
      </c>
      <c r="B939" s="47" t="e">
        <f t="shared" si="488"/>
        <v>#REF!</v>
      </c>
      <c r="C939" s="47" t="e">
        <f t="shared" si="488"/>
        <v>#REF!</v>
      </c>
      <c r="D939" s="47" t="e">
        <f t="shared" si="488"/>
        <v>#REF!</v>
      </c>
      <c r="E939" s="47" t="e">
        <f t="shared" si="488"/>
        <v>#REF!</v>
      </c>
      <c r="F939" s="47" t="e">
        <f t="shared" si="488"/>
        <v>#REF!</v>
      </c>
      <c r="G939" s="47" t="e">
        <f t="shared" si="488"/>
        <v>#REF!</v>
      </c>
      <c r="H939" s="47" t="e">
        <f t="shared" si="488"/>
        <v>#REF!</v>
      </c>
    </row>
    <row r="940" spans="1:8" ht="12.75" hidden="1" x14ac:dyDescent="0.2">
      <c r="A940" s="47" t="e">
        <f t="shared" ref="A940:H940" si="489">#REF!</f>
        <v>#REF!</v>
      </c>
      <c r="B940" s="47" t="e">
        <f t="shared" si="489"/>
        <v>#REF!</v>
      </c>
      <c r="C940" s="47" t="e">
        <f t="shared" si="489"/>
        <v>#REF!</v>
      </c>
      <c r="D940" s="47" t="e">
        <f t="shared" si="489"/>
        <v>#REF!</v>
      </c>
      <c r="E940" s="47" t="e">
        <f t="shared" si="489"/>
        <v>#REF!</v>
      </c>
      <c r="F940" s="47" t="e">
        <f t="shared" si="489"/>
        <v>#REF!</v>
      </c>
      <c r="G940" s="47" t="e">
        <f t="shared" si="489"/>
        <v>#REF!</v>
      </c>
      <c r="H940" s="47" t="e">
        <f t="shared" si="489"/>
        <v>#REF!</v>
      </c>
    </row>
    <row r="941" spans="1:8" ht="12.75" hidden="1" x14ac:dyDescent="0.2">
      <c r="A941" s="47" t="e">
        <f t="shared" ref="A941:H941" si="490">#REF!</f>
        <v>#REF!</v>
      </c>
      <c r="B941" s="47" t="e">
        <f t="shared" si="490"/>
        <v>#REF!</v>
      </c>
      <c r="C941" s="47" t="e">
        <f t="shared" si="490"/>
        <v>#REF!</v>
      </c>
      <c r="D941" s="47" t="e">
        <f t="shared" si="490"/>
        <v>#REF!</v>
      </c>
      <c r="E941" s="47" t="e">
        <f t="shared" si="490"/>
        <v>#REF!</v>
      </c>
      <c r="F941" s="47" t="e">
        <f t="shared" si="490"/>
        <v>#REF!</v>
      </c>
      <c r="G941" s="47" t="e">
        <f t="shared" si="490"/>
        <v>#REF!</v>
      </c>
      <c r="H941" s="47" t="e">
        <f t="shared" si="490"/>
        <v>#REF!</v>
      </c>
    </row>
    <row r="942" spans="1:8" ht="12.75" hidden="1" x14ac:dyDescent="0.2">
      <c r="A942" s="47" t="e">
        <f t="shared" ref="A942:H942" si="491">#REF!</f>
        <v>#REF!</v>
      </c>
      <c r="B942" s="47" t="e">
        <f t="shared" si="491"/>
        <v>#REF!</v>
      </c>
      <c r="C942" s="47" t="e">
        <f t="shared" si="491"/>
        <v>#REF!</v>
      </c>
      <c r="D942" s="47" t="e">
        <f t="shared" si="491"/>
        <v>#REF!</v>
      </c>
      <c r="E942" s="47" t="e">
        <f t="shared" si="491"/>
        <v>#REF!</v>
      </c>
      <c r="F942" s="47" t="e">
        <f t="shared" si="491"/>
        <v>#REF!</v>
      </c>
      <c r="G942" s="47" t="e">
        <f t="shared" si="491"/>
        <v>#REF!</v>
      </c>
      <c r="H942" s="47" t="e">
        <f t="shared" si="491"/>
        <v>#REF!</v>
      </c>
    </row>
    <row r="943" spans="1:8" ht="12.75" hidden="1" x14ac:dyDescent="0.2">
      <c r="A943" s="47" t="e">
        <f t="shared" ref="A943:H943" si="492">#REF!</f>
        <v>#REF!</v>
      </c>
      <c r="B943" s="47" t="e">
        <f t="shared" si="492"/>
        <v>#REF!</v>
      </c>
      <c r="C943" s="47" t="e">
        <f t="shared" si="492"/>
        <v>#REF!</v>
      </c>
      <c r="D943" s="47" t="e">
        <f t="shared" si="492"/>
        <v>#REF!</v>
      </c>
      <c r="E943" s="47" t="e">
        <f t="shared" si="492"/>
        <v>#REF!</v>
      </c>
      <c r="F943" s="47" t="e">
        <f t="shared" si="492"/>
        <v>#REF!</v>
      </c>
      <c r="G943" s="47" t="e">
        <f t="shared" si="492"/>
        <v>#REF!</v>
      </c>
      <c r="H943" s="47" t="e">
        <f t="shared" si="492"/>
        <v>#REF!</v>
      </c>
    </row>
    <row r="944" spans="1:8" ht="12.75" hidden="1" x14ac:dyDescent="0.2">
      <c r="A944" s="47" t="e">
        <f t="shared" ref="A944:H944" si="493">#REF!</f>
        <v>#REF!</v>
      </c>
      <c r="B944" s="47" t="e">
        <f t="shared" si="493"/>
        <v>#REF!</v>
      </c>
      <c r="C944" s="47" t="e">
        <f t="shared" si="493"/>
        <v>#REF!</v>
      </c>
      <c r="D944" s="47" t="e">
        <f t="shared" si="493"/>
        <v>#REF!</v>
      </c>
      <c r="E944" s="47" t="e">
        <f t="shared" si="493"/>
        <v>#REF!</v>
      </c>
      <c r="F944" s="47" t="e">
        <f t="shared" si="493"/>
        <v>#REF!</v>
      </c>
      <c r="G944" s="47" t="e">
        <f t="shared" si="493"/>
        <v>#REF!</v>
      </c>
      <c r="H944" s="47" t="e">
        <f t="shared" si="493"/>
        <v>#REF!</v>
      </c>
    </row>
    <row r="945" spans="1:8" ht="12.75" hidden="1" x14ac:dyDescent="0.2">
      <c r="A945" s="47" t="e">
        <f t="shared" ref="A945:H945" si="494">#REF!</f>
        <v>#REF!</v>
      </c>
      <c r="B945" s="47" t="e">
        <f t="shared" si="494"/>
        <v>#REF!</v>
      </c>
      <c r="C945" s="47" t="e">
        <f t="shared" si="494"/>
        <v>#REF!</v>
      </c>
      <c r="D945" s="47" t="e">
        <f t="shared" si="494"/>
        <v>#REF!</v>
      </c>
      <c r="E945" s="47" t="e">
        <f t="shared" si="494"/>
        <v>#REF!</v>
      </c>
      <c r="F945" s="47" t="e">
        <f t="shared" si="494"/>
        <v>#REF!</v>
      </c>
      <c r="G945" s="47" t="e">
        <f t="shared" si="494"/>
        <v>#REF!</v>
      </c>
      <c r="H945" s="47" t="e">
        <f t="shared" si="494"/>
        <v>#REF!</v>
      </c>
    </row>
    <row r="946" spans="1:8" ht="12.75" hidden="1" x14ac:dyDescent="0.2">
      <c r="A946" s="47" t="e">
        <f t="shared" ref="A946:H946" si="495">#REF!</f>
        <v>#REF!</v>
      </c>
      <c r="B946" s="47" t="e">
        <f t="shared" si="495"/>
        <v>#REF!</v>
      </c>
      <c r="C946" s="47" t="e">
        <f t="shared" si="495"/>
        <v>#REF!</v>
      </c>
      <c r="D946" s="47" t="e">
        <f t="shared" si="495"/>
        <v>#REF!</v>
      </c>
      <c r="E946" s="47" t="e">
        <f t="shared" si="495"/>
        <v>#REF!</v>
      </c>
      <c r="F946" s="47" t="e">
        <f t="shared" si="495"/>
        <v>#REF!</v>
      </c>
      <c r="G946" s="47" t="e">
        <f t="shared" si="495"/>
        <v>#REF!</v>
      </c>
      <c r="H946" s="47" t="e">
        <f t="shared" si="495"/>
        <v>#REF!</v>
      </c>
    </row>
    <row r="947" spans="1:8" ht="12.75" hidden="1" x14ac:dyDescent="0.2">
      <c r="A947" s="47" t="e">
        <f t="shared" ref="A947:H947" si="496">#REF!</f>
        <v>#REF!</v>
      </c>
      <c r="B947" s="47" t="e">
        <f t="shared" si="496"/>
        <v>#REF!</v>
      </c>
      <c r="C947" s="47" t="e">
        <f t="shared" si="496"/>
        <v>#REF!</v>
      </c>
      <c r="D947" s="47" t="e">
        <f t="shared" si="496"/>
        <v>#REF!</v>
      </c>
      <c r="E947" s="47" t="e">
        <f t="shared" si="496"/>
        <v>#REF!</v>
      </c>
      <c r="F947" s="47" t="e">
        <f t="shared" si="496"/>
        <v>#REF!</v>
      </c>
      <c r="G947" s="47" t="e">
        <f t="shared" si="496"/>
        <v>#REF!</v>
      </c>
      <c r="H947" s="47" t="e">
        <f t="shared" si="496"/>
        <v>#REF!</v>
      </c>
    </row>
    <row r="948" spans="1:8" ht="12.75" hidden="1" x14ac:dyDescent="0.2">
      <c r="A948" s="47" t="e">
        <f t="shared" ref="A948:H948" si="497">#REF!</f>
        <v>#REF!</v>
      </c>
      <c r="B948" s="47" t="e">
        <f t="shared" si="497"/>
        <v>#REF!</v>
      </c>
      <c r="C948" s="47" t="e">
        <f t="shared" si="497"/>
        <v>#REF!</v>
      </c>
      <c r="D948" s="47" t="e">
        <f t="shared" si="497"/>
        <v>#REF!</v>
      </c>
      <c r="E948" s="47" t="e">
        <f t="shared" si="497"/>
        <v>#REF!</v>
      </c>
      <c r="F948" s="47" t="e">
        <f t="shared" si="497"/>
        <v>#REF!</v>
      </c>
      <c r="G948" s="47" t="e">
        <f t="shared" si="497"/>
        <v>#REF!</v>
      </c>
      <c r="H948" s="47" t="e">
        <f t="shared" si="497"/>
        <v>#REF!</v>
      </c>
    </row>
    <row r="949" spans="1:8" ht="12.75" hidden="1" x14ac:dyDescent="0.2">
      <c r="A949" s="47" t="e">
        <f t="shared" ref="A949:H949" si="498">#REF!</f>
        <v>#REF!</v>
      </c>
      <c r="B949" s="47" t="e">
        <f t="shared" si="498"/>
        <v>#REF!</v>
      </c>
      <c r="C949" s="47" t="e">
        <f t="shared" si="498"/>
        <v>#REF!</v>
      </c>
      <c r="D949" s="47" t="e">
        <f t="shared" si="498"/>
        <v>#REF!</v>
      </c>
      <c r="E949" s="47" t="e">
        <f t="shared" si="498"/>
        <v>#REF!</v>
      </c>
      <c r="F949" s="47" t="e">
        <f t="shared" si="498"/>
        <v>#REF!</v>
      </c>
      <c r="G949" s="47" t="e">
        <f t="shared" si="498"/>
        <v>#REF!</v>
      </c>
      <c r="H949" s="47" t="e">
        <f t="shared" si="498"/>
        <v>#REF!</v>
      </c>
    </row>
    <row r="950" spans="1:8" ht="12.75" hidden="1" x14ac:dyDescent="0.2">
      <c r="A950" s="47" t="e">
        <f t="shared" ref="A950:H950" si="499">#REF!</f>
        <v>#REF!</v>
      </c>
      <c r="B950" s="47" t="e">
        <f t="shared" si="499"/>
        <v>#REF!</v>
      </c>
      <c r="C950" s="47" t="e">
        <f t="shared" si="499"/>
        <v>#REF!</v>
      </c>
      <c r="D950" s="47" t="e">
        <f t="shared" si="499"/>
        <v>#REF!</v>
      </c>
      <c r="E950" s="47" t="e">
        <f t="shared" si="499"/>
        <v>#REF!</v>
      </c>
      <c r="F950" s="47" t="e">
        <f t="shared" si="499"/>
        <v>#REF!</v>
      </c>
      <c r="G950" s="47" t="e">
        <f t="shared" si="499"/>
        <v>#REF!</v>
      </c>
      <c r="H950" s="47" t="e">
        <f t="shared" si="499"/>
        <v>#REF!</v>
      </c>
    </row>
    <row r="951" spans="1:8" ht="12.75" hidden="1" x14ac:dyDescent="0.2">
      <c r="A951" s="47" t="e">
        <f t="shared" ref="A951:H951" si="500">#REF!</f>
        <v>#REF!</v>
      </c>
      <c r="B951" s="47" t="e">
        <f t="shared" si="500"/>
        <v>#REF!</v>
      </c>
      <c r="C951" s="47" t="e">
        <f t="shared" si="500"/>
        <v>#REF!</v>
      </c>
      <c r="D951" s="47" t="e">
        <f t="shared" si="500"/>
        <v>#REF!</v>
      </c>
      <c r="E951" s="47" t="e">
        <f t="shared" si="500"/>
        <v>#REF!</v>
      </c>
      <c r="F951" s="47" t="e">
        <f t="shared" si="500"/>
        <v>#REF!</v>
      </c>
      <c r="G951" s="47" t="e">
        <f t="shared" si="500"/>
        <v>#REF!</v>
      </c>
      <c r="H951" s="47" t="e">
        <f t="shared" si="500"/>
        <v>#REF!</v>
      </c>
    </row>
    <row r="952" spans="1:8" ht="12.75" hidden="1" x14ac:dyDescent="0.2">
      <c r="A952" s="47" t="e">
        <f t="shared" ref="A952:H952" si="501">#REF!</f>
        <v>#REF!</v>
      </c>
      <c r="B952" s="47" t="e">
        <f t="shared" si="501"/>
        <v>#REF!</v>
      </c>
      <c r="C952" s="47" t="e">
        <f t="shared" si="501"/>
        <v>#REF!</v>
      </c>
      <c r="D952" s="47" t="e">
        <f t="shared" si="501"/>
        <v>#REF!</v>
      </c>
      <c r="E952" s="47" t="e">
        <f t="shared" si="501"/>
        <v>#REF!</v>
      </c>
      <c r="F952" s="47" t="e">
        <f t="shared" si="501"/>
        <v>#REF!</v>
      </c>
      <c r="G952" s="47" t="e">
        <f t="shared" si="501"/>
        <v>#REF!</v>
      </c>
      <c r="H952" s="47" t="e">
        <f t="shared" si="501"/>
        <v>#REF!</v>
      </c>
    </row>
    <row r="953" spans="1:8" ht="12.75" hidden="1" x14ac:dyDescent="0.2">
      <c r="A953" s="47" t="e">
        <f t="shared" ref="A953:H953" si="502">#REF!</f>
        <v>#REF!</v>
      </c>
      <c r="B953" s="47" t="e">
        <f t="shared" si="502"/>
        <v>#REF!</v>
      </c>
      <c r="C953" s="47" t="e">
        <f t="shared" si="502"/>
        <v>#REF!</v>
      </c>
      <c r="D953" s="47" t="e">
        <f t="shared" si="502"/>
        <v>#REF!</v>
      </c>
      <c r="E953" s="47" t="e">
        <f t="shared" si="502"/>
        <v>#REF!</v>
      </c>
      <c r="F953" s="47" t="e">
        <f t="shared" si="502"/>
        <v>#REF!</v>
      </c>
      <c r="G953" s="47" t="e">
        <f t="shared" si="502"/>
        <v>#REF!</v>
      </c>
      <c r="H953" s="47" t="e">
        <f t="shared" si="502"/>
        <v>#REF!</v>
      </c>
    </row>
    <row r="954" spans="1:8" ht="12.75" hidden="1" x14ac:dyDescent="0.2">
      <c r="A954" s="47" t="e">
        <f t="shared" ref="A954:H954" si="503">#REF!</f>
        <v>#REF!</v>
      </c>
      <c r="B954" s="47" t="e">
        <f t="shared" si="503"/>
        <v>#REF!</v>
      </c>
      <c r="C954" s="47" t="e">
        <f t="shared" si="503"/>
        <v>#REF!</v>
      </c>
      <c r="D954" s="47" t="e">
        <f t="shared" si="503"/>
        <v>#REF!</v>
      </c>
      <c r="E954" s="47" t="e">
        <f t="shared" si="503"/>
        <v>#REF!</v>
      </c>
      <c r="F954" s="47" t="e">
        <f t="shared" si="503"/>
        <v>#REF!</v>
      </c>
      <c r="G954" s="47" t="e">
        <f t="shared" si="503"/>
        <v>#REF!</v>
      </c>
      <c r="H954" s="47" t="e">
        <f t="shared" si="503"/>
        <v>#REF!</v>
      </c>
    </row>
    <row r="955" spans="1:8" ht="12.75" hidden="1" x14ac:dyDescent="0.2">
      <c r="A955" s="47" t="e">
        <f t="shared" ref="A955:H955" si="504">#REF!</f>
        <v>#REF!</v>
      </c>
      <c r="B955" s="47" t="e">
        <f t="shared" si="504"/>
        <v>#REF!</v>
      </c>
      <c r="C955" s="47" t="e">
        <f t="shared" si="504"/>
        <v>#REF!</v>
      </c>
      <c r="D955" s="47" t="e">
        <f t="shared" si="504"/>
        <v>#REF!</v>
      </c>
      <c r="E955" s="47" t="e">
        <f t="shared" si="504"/>
        <v>#REF!</v>
      </c>
      <c r="F955" s="47" t="e">
        <f t="shared" si="504"/>
        <v>#REF!</v>
      </c>
      <c r="G955" s="47" t="e">
        <f t="shared" si="504"/>
        <v>#REF!</v>
      </c>
      <c r="H955" s="47" t="e">
        <f t="shared" si="504"/>
        <v>#REF!</v>
      </c>
    </row>
    <row r="956" spans="1:8" ht="12.75" hidden="1" x14ac:dyDescent="0.2">
      <c r="A956" s="47" t="e">
        <f t="shared" ref="A956:H956" si="505">#REF!</f>
        <v>#REF!</v>
      </c>
      <c r="B956" s="47" t="e">
        <f t="shared" si="505"/>
        <v>#REF!</v>
      </c>
      <c r="C956" s="47" t="e">
        <f t="shared" si="505"/>
        <v>#REF!</v>
      </c>
      <c r="D956" s="47" t="e">
        <f t="shared" si="505"/>
        <v>#REF!</v>
      </c>
      <c r="E956" s="47" t="e">
        <f t="shared" si="505"/>
        <v>#REF!</v>
      </c>
      <c r="F956" s="47" t="e">
        <f t="shared" si="505"/>
        <v>#REF!</v>
      </c>
      <c r="G956" s="47" t="e">
        <f t="shared" si="505"/>
        <v>#REF!</v>
      </c>
      <c r="H956" s="47" t="e">
        <f t="shared" si="505"/>
        <v>#REF!</v>
      </c>
    </row>
    <row r="957" spans="1:8" ht="12.75" hidden="1" x14ac:dyDescent="0.2">
      <c r="A957" s="47" t="e">
        <f t="shared" ref="A957:H957" si="506">#REF!</f>
        <v>#REF!</v>
      </c>
      <c r="B957" s="47" t="e">
        <f t="shared" si="506"/>
        <v>#REF!</v>
      </c>
      <c r="C957" s="47" t="e">
        <f t="shared" si="506"/>
        <v>#REF!</v>
      </c>
      <c r="D957" s="47" t="e">
        <f t="shared" si="506"/>
        <v>#REF!</v>
      </c>
      <c r="E957" s="47" t="e">
        <f t="shared" si="506"/>
        <v>#REF!</v>
      </c>
      <c r="F957" s="47" t="e">
        <f t="shared" si="506"/>
        <v>#REF!</v>
      </c>
      <c r="G957" s="47" t="e">
        <f t="shared" si="506"/>
        <v>#REF!</v>
      </c>
      <c r="H957" s="47" t="e">
        <f t="shared" si="506"/>
        <v>#REF!</v>
      </c>
    </row>
    <row r="958" spans="1:8" ht="12.75" hidden="1" x14ac:dyDescent="0.2">
      <c r="A958" s="47" t="e">
        <f t="shared" ref="A958:H958" si="507">#REF!</f>
        <v>#REF!</v>
      </c>
      <c r="B958" s="47" t="e">
        <f t="shared" si="507"/>
        <v>#REF!</v>
      </c>
      <c r="C958" s="47" t="e">
        <f t="shared" si="507"/>
        <v>#REF!</v>
      </c>
      <c r="D958" s="47" t="e">
        <f t="shared" si="507"/>
        <v>#REF!</v>
      </c>
      <c r="E958" s="47" t="e">
        <f t="shared" si="507"/>
        <v>#REF!</v>
      </c>
      <c r="F958" s="47" t="e">
        <f t="shared" si="507"/>
        <v>#REF!</v>
      </c>
      <c r="G958" s="47" t="e">
        <f t="shared" si="507"/>
        <v>#REF!</v>
      </c>
      <c r="H958" s="47" t="e">
        <f t="shared" si="507"/>
        <v>#REF!</v>
      </c>
    </row>
    <row r="959" spans="1:8" ht="12.75" hidden="1" x14ac:dyDescent="0.2">
      <c r="A959" s="47" t="e">
        <f t="shared" ref="A959:H959" si="508">#REF!</f>
        <v>#REF!</v>
      </c>
      <c r="B959" s="47" t="e">
        <f t="shared" si="508"/>
        <v>#REF!</v>
      </c>
      <c r="C959" s="47" t="e">
        <f t="shared" si="508"/>
        <v>#REF!</v>
      </c>
      <c r="D959" s="47" t="e">
        <f t="shared" si="508"/>
        <v>#REF!</v>
      </c>
      <c r="E959" s="47" t="e">
        <f t="shared" si="508"/>
        <v>#REF!</v>
      </c>
      <c r="F959" s="47" t="e">
        <f t="shared" si="508"/>
        <v>#REF!</v>
      </c>
      <c r="G959" s="47" t="e">
        <f t="shared" si="508"/>
        <v>#REF!</v>
      </c>
      <c r="H959" s="47" t="e">
        <f t="shared" si="508"/>
        <v>#REF!</v>
      </c>
    </row>
    <row r="960" spans="1:8" ht="12.75" hidden="1" x14ac:dyDescent="0.2">
      <c r="A960" s="47" t="e">
        <f t="shared" ref="A960:H960" si="509">#REF!</f>
        <v>#REF!</v>
      </c>
      <c r="B960" s="47" t="e">
        <f t="shared" si="509"/>
        <v>#REF!</v>
      </c>
      <c r="C960" s="47" t="e">
        <f t="shared" si="509"/>
        <v>#REF!</v>
      </c>
      <c r="D960" s="47" t="e">
        <f t="shared" si="509"/>
        <v>#REF!</v>
      </c>
      <c r="E960" s="47" t="e">
        <f t="shared" si="509"/>
        <v>#REF!</v>
      </c>
      <c r="F960" s="47" t="e">
        <f t="shared" si="509"/>
        <v>#REF!</v>
      </c>
      <c r="G960" s="47" t="e">
        <f t="shared" si="509"/>
        <v>#REF!</v>
      </c>
      <c r="H960" s="47" t="e">
        <f t="shared" si="509"/>
        <v>#REF!</v>
      </c>
    </row>
    <row r="961" spans="1:8" ht="12.75" hidden="1" x14ac:dyDescent="0.2">
      <c r="A961" s="47" t="e">
        <f t="shared" ref="A961:H961" si="510">#REF!</f>
        <v>#REF!</v>
      </c>
      <c r="B961" s="47" t="e">
        <f t="shared" si="510"/>
        <v>#REF!</v>
      </c>
      <c r="C961" s="47" t="e">
        <f t="shared" si="510"/>
        <v>#REF!</v>
      </c>
      <c r="D961" s="47" t="e">
        <f t="shared" si="510"/>
        <v>#REF!</v>
      </c>
      <c r="E961" s="47" t="e">
        <f t="shared" si="510"/>
        <v>#REF!</v>
      </c>
      <c r="F961" s="47" t="e">
        <f t="shared" si="510"/>
        <v>#REF!</v>
      </c>
      <c r="G961" s="47" t="e">
        <f t="shared" si="510"/>
        <v>#REF!</v>
      </c>
      <c r="H961" s="47" t="e">
        <f t="shared" si="510"/>
        <v>#REF!</v>
      </c>
    </row>
    <row r="962" spans="1:8" ht="12.75" hidden="1" x14ac:dyDescent="0.2">
      <c r="A962" s="47" t="e">
        <f t="shared" ref="A962:H962" si="511">#REF!</f>
        <v>#REF!</v>
      </c>
      <c r="B962" s="47" t="e">
        <f t="shared" si="511"/>
        <v>#REF!</v>
      </c>
      <c r="C962" s="47" t="e">
        <f t="shared" si="511"/>
        <v>#REF!</v>
      </c>
      <c r="D962" s="47" t="e">
        <f t="shared" si="511"/>
        <v>#REF!</v>
      </c>
      <c r="E962" s="47" t="e">
        <f t="shared" si="511"/>
        <v>#REF!</v>
      </c>
      <c r="F962" s="47" t="e">
        <f t="shared" si="511"/>
        <v>#REF!</v>
      </c>
      <c r="G962" s="47" t="e">
        <f t="shared" si="511"/>
        <v>#REF!</v>
      </c>
      <c r="H962" s="47" t="e">
        <f t="shared" si="511"/>
        <v>#REF!</v>
      </c>
    </row>
    <row r="963" spans="1:8" ht="12.75" hidden="1" x14ac:dyDescent="0.2">
      <c r="A963" s="47" t="e">
        <f t="shared" ref="A963:H963" si="512">#REF!</f>
        <v>#REF!</v>
      </c>
      <c r="B963" s="47" t="e">
        <f t="shared" si="512"/>
        <v>#REF!</v>
      </c>
      <c r="C963" s="47" t="e">
        <f t="shared" si="512"/>
        <v>#REF!</v>
      </c>
      <c r="D963" s="47" t="e">
        <f t="shared" si="512"/>
        <v>#REF!</v>
      </c>
      <c r="E963" s="47" t="e">
        <f t="shared" si="512"/>
        <v>#REF!</v>
      </c>
      <c r="F963" s="47" t="e">
        <f t="shared" si="512"/>
        <v>#REF!</v>
      </c>
      <c r="G963" s="47" t="e">
        <f t="shared" si="512"/>
        <v>#REF!</v>
      </c>
      <c r="H963" s="47" t="e">
        <f t="shared" si="512"/>
        <v>#REF!</v>
      </c>
    </row>
    <row r="964" spans="1:8" ht="12.75" hidden="1" x14ac:dyDescent="0.2">
      <c r="A964" s="47" t="e">
        <f t="shared" ref="A964:H964" si="513">#REF!</f>
        <v>#REF!</v>
      </c>
      <c r="B964" s="47" t="e">
        <f t="shared" si="513"/>
        <v>#REF!</v>
      </c>
      <c r="C964" s="47" t="e">
        <f t="shared" si="513"/>
        <v>#REF!</v>
      </c>
      <c r="D964" s="47" t="e">
        <f t="shared" si="513"/>
        <v>#REF!</v>
      </c>
      <c r="E964" s="47" t="e">
        <f t="shared" si="513"/>
        <v>#REF!</v>
      </c>
      <c r="F964" s="47" t="e">
        <f t="shared" si="513"/>
        <v>#REF!</v>
      </c>
      <c r="G964" s="47" t="e">
        <f t="shared" si="513"/>
        <v>#REF!</v>
      </c>
      <c r="H964" s="47" t="e">
        <f t="shared" si="513"/>
        <v>#REF!</v>
      </c>
    </row>
    <row r="965" spans="1:8" ht="12.75" hidden="1" x14ac:dyDescent="0.2">
      <c r="A965" s="47" t="e">
        <f t="shared" ref="A965:H965" si="514">#REF!</f>
        <v>#REF!</v>
      </c>
      <c r="B965" s="47" t="e">
        <f t="shared" si="514"/>
        <v>#REF!</v>
      </c>
      <c r="C965" s="47" t="e">
        <f t="shared" si="514"/>
        <v>#REF!</v>
      </c>
      <c r="D965" s="47" t="e">
        <f t="shared" si="514"/>
        <v>#REF!</v>
      </c>
      <c r="E965" s="47" t="e">
        <f t="shared" si="514"/>
        <v>#REF!</v>
      </c>
      <c r="F965" s="47" t="e">
        <f t="shared" si="514"/>
        <v>#REF!</v>
      </c>
      <c r="G965" s="47" t="e">
        <f t="shared" si="514"/>
        <v>#REF!</v>
      </c>
      <c r="H965" s="47" t="e">
        <f t="shared" si="514"/>
        <v>#REF!</v>
      </c>
    </row>
    <row r="966" spans="1:8" ht="12.75" hidden="1" x14ac:dyDescent="0.2">
      <c r="A966" s="47" t="e">
        <f t="shared" ref="A966:H966" si="515">#REF!</f>
        <v>#REF!</v>
      </c>
      <c r="B966" s="47" t="e">
        <f t="shared" si="515"/>
        <v>#REF!</v>
      </c>
      <c r="C966" s="47" t="e">
        <f t="shared" si="515"/>
        <v>#REF!</v>
      </c>
      <c r="D966" s="47" t="e">
        <f t="shared" si="515"/>
        <v>#REF!</v>
      </c>
      <c r="E966" s="47" t="e">
        <f t="shared" si="515"/>
        <v>#REF!</v>
      </c>
      <c r="F966" s="47" t="e">
        <f t="shared" si="515"/>
        <v>#REF!</v>
      </c>
      <c r="G966" s="47" t="e">
        <f t="shared" si="515"/>
        <v>#REF!</v>
      </c>
      <c r="H966" s="47" t="e">
        <f t="shared" si="515"/>
        <v>#REF!</v>
      </c>
    </row>
    <row r="967" spans="1:8" ht="12.75" hidden="1" x14ac:dyDescent="0.2">
      <c r="A967" s="47" t="e">
        <f t="shared" ref="A967:H967" si="516">#REF!</f>
        <v>#REF!</v>
      </c>
      <c r="B967" s="47" t="e">
        <f t="shared" si="516"/>
        <v>#REF!</v>
      </c>
      <c r="C967" s="47" t="e">
        <f t="shared" si="516"/>
        <v>#REF!</v>
      </c>
      <c r="D967" s="47" t="e">
        <f t="shared" si="516"/>
        <v>#REF!</v>
      </c>
      <c r="E967" s="47" t="e">
        <f t="shared" si="516"/>
        <v>#REF!</v>
      </c>
      <c r="F967" s="47" t="e">
        <f t="shared" si="516"/>
        <v>#REF!</v>
      </c>
      <c r="G967" s="47" t="e">
        <f t="shared" si="516"/>
        <v>#REF!</v>
      </c>
      <c r="H967" s="47" t="e">
        <f t="shared" si="516"/>
        <v>#REF!</v>
      </c>
    </row>
    <row r="968" spans="1:8" ht="12.75" hidden="1" x14ac:dyDescent="0.2">
      <c r="A968" s="47" t="e">
        <f t="shared" ref="A968:H968" si="517">#REF!</f>
        <v>#REF!</v>
      </c>
      <c r="B968" s="47" t="e">
        <f t="shared" si="517"/>
        <v>#REF!</v>
      </c>
      <c r="C968" s="47" t="e">
        <f t="shared" si="517"/>
        <v>#REF!</v>
      </c>
      <c r="D968" s="47" t="e">
        <f t="shared" si="517"/>
        <v>#REF!</v>
      </c>
      <c r="E968" s="47" t="e">
        <f t="shared" si="517"/>
        <v>#REF!</v>
      </c>
      <c r="F968" s="47" t="e">
        <f t="shared" si="517"/>
        <v>#REF!</v>
      </c>
      <c r="G968" s="47" t="e">
        <f t="shared" si="517"/>
        <v>#REF!</v>
      </c>
      <c r="H968" s="47" t="e">
        <f t="shared" si="517"/>
        <v>#REF!</v>
      </c>
    </row>
    <row r="969" spans="1:8" ht="12.75" hidden="1" x14ac:dyDescent="0.2">
      <c r="A969" s="47" t="e">
        <f t="shared" ref="A969:H969" si="518">#REF!</f>
        <v>#REF!</v>
      </c>
      <c r="B969" s="47" t="e">
        <f t="shared" si="518"/>
        <v>#REF!</v>
      </c>
      <c r="C969" s="47" t="e">
        <f t="shared" si="518"/>
        <v>#REF!</v>
      </c>
      <c r="D969" s="47" t="e">
        <f t="shared" si="518"/>
        <v>#REF!</v>
      </c>
      <c r="E969" s="47" t="e">
        <f t="shared" si="518"/>
        <v>#REF!</v>
      </c>
      <c r="F969" s="47" t="e">
        <f t="shared" si="518"/>
        <v>#REF!</v>
      </c>
      <c r="G969" s="47" t="e">
        <f t="shared" si="518"/>
        <v>#REF!</v>
      </c>
      <c r="H969" s="47" t="e">
        <f t="shared" si="518"/>
        <v>#REF!</v>
      </c>
    </row>
    <row r="970" spans="1:8" ht="12.75" hidden="1" x14ac:dyDescent="0.2">
      <c r="A970" s="47" t="e">
        <f t="shared" ref="A970:H970" si="519">#REF!</f>
        <v>#REF!</v>
      </c>
      <c r="B970" s="47" t="e">
        <f t="shared" si="519"/>
        <v>#REF!</v>
      </c>
      <c r="C970" s="47" t="e">
        <f t="shared" si="519"/>
        <v>#REF!</v>
      </c>
      <c r="D970" s="47" t="e">
        <f t="shared" si="519"/>
        <v>#REF!</v>
      </c>
      <c r="E970" s="47" t="e">
        <f t="shared" si="519"/>
        <v>#REF!</v>
      </c>
      <c r="F970" s="47" t="e">
        <f t="shared" si="519"/>
        <v>#REF!</v>
      </c>
      <c r="G970" s="47" t="e">
        <f t="shared" si="519"/>
        <v>#REF!</v>
      </c>
      <c r="H970" s="47" t="e">
        <f t="shared" si="519"/>
        <v>#REF!</v>
      </c>
    </row>
    <row r="971" spans="1:8" ht="12.75" hidden="1" x14ac:dyDescent="0.2">
      <c r="A971" s="47" t="e">
        <f t="shared" ref="A971:H971" si="520">#REF!</f>
        <v>#REF!</v>
      </c>
      <c r="B971" s="47" t="e">
        <f t="shared" si="520"/>
        <v>#REF!</v>
      </c>
      <c r="C971" s="47" t="e">
        <f t="shared" si="520"/>
        <v>#REF!</v>
      </c>
      <c r="D971" s="47" t="e">
        <f t="shared" si="520"/>
        <v>#REF!</v>
      </c>
      <c r="E971" s="47" t="e">
        <f t="shared" si="520"/>
        <v>#REF!</v>
      </c>
      <c r="F971" s="47" t="e">
        <f t="shared" si="520"/>
        <v>#REF!</v>
      </c>
      <c r="G971" s="47" t="e">
        <f t="shared" si="520"/>
        <v>#REF!</v>
      </c>
      <c r="H971" s="47" t="e">
        <f t="shared" si="520"/>
        <v>#REF!</v>
      </c>
    </row>
    <row r="972" spans="1:8" ht="12.75" hidden="1" x14ac:dyDescent="0.2">
      <c r="A972" s="47" t="e">
        <f t="shared" ref="A972:H972" si="521">#REF!</f>
        <v>#REF!</v>
      </c>
      <c r="B972" s="47" t="e">
        <f t="shared" si="521"/>
        <v>#REF!</v>
      </c>
      <c r="C972" s="47" t="e">
        <f t="shared" si="521"/>
        <v>#REF!</v>
      </c>
      <c r="D972" s="47" t="e">
        <f t="shared" si="521"/>
        <v>#REF!</v>
      </c>
      <c r="E972" s="47" t="e">
        <f t="shared" si="521"/>
        <v>#REF!</v>
      </c>
      <c r="F972" s="47" t="e">
        <f t="shared" si="521"/>
        <v>#REF!</v>
      </c>
      <c r="G972" s="47" t="e">
        <f t="shared" si="521"/>
        <v>#REF!</v>
      </c>
      <c r="H972" s="47" t="e">
        <f t="shared" si="521"/>
        <v>#REF!</v>
      </c>
    </row>
    <row r="973" spans="1:8" ht="12.75" hidden="1" x14ac:dyDescent="0.2">
      <c r="A973" s="47" t="e">
        <f t="shared" ref="A973:H973" si="522">#REF!</f>
        <v>#REF!</v>
      </c>
      <c r="B973" s="47" t="e">
        <f t="shared" si="522"/>
        <v>#REF!</v>
      </c>
      <c r="C973" s="47" t="e">
        <f t="shared" si="522"/>
        <v>#REF!</v>
      </c>
      <c r="D973" s="47" t="e">
        <f t="shared" si="522"/>
        <v>#REF!</v>
      </c>
      <c r="E973" s="47" t="e">
        <f t="shared" si="522"/>
        <v>#REF!</v>
      </c>
      <c r="F973" s="47" t="e">
        <f t="shared" si="522"/>
        <v>#REF!</v>
      </c>
      <c r="G973" s="47" t="e">
        <f t="shared" si="522"/>
        <v>#REF!</v>
      </c>
      <c r="H973" s="47" t="e">
        <f t="shared" si="522"/>
        <v>#REF!</v>
      </c>
    </row>
    <row r="974" spans="1:8" ht="12.75" hidden="1" x14ac:dyDescent="0.2">
      <c r="A974" s="47" t="e">
        <f t="shared" ref="A974:H974" si="523">#REF!</f>
        <v>#REF!</v>
      </c>
      <c r="B974" s="47" t="e">
        <f t="shared" si="523"/>
        <v>#REF!</v>
      </c>
      <c r="C974" s="47" t="e">
        <f t="shared" si="523"/>
        <v>#REF!</v>
      </c>
      <c r="D974" s="47" t="e">
        <f t="shared" si="523"/>
        <v>#REF!</v>
      </c>
      <c r="E974" s="47" t="e">
        <f t="shared" si="523"/>
        <v>#REF!</v>
      </c>
      <c r="F974" s="47" t="e">
        <f t="shared" si="523"/>
        <v>#REF!</v>
      </c>
      <c r="G974" s="47" t="e">
        <f t="shared" si="523"/>
        <v>#REF!</v>
      </c>
      <c r="H974" s="47" t="e">
        <f t="shared" si="523"/>
        <v>#REF!</v>
      </c>
    </row>
    <row r="975" spans="1:8" ht="12.75" hidden="1" x14ac:dyDescent="0.2">
      <c r="A975" s="47" t="e">
        <f t="shared" ref="A975:H975" si="524">#REF!</f>
        <v>#REF!</v>
      </c>
      <c r="B975" s="47" t="e">
        <f t="shared" si="524"/>
        <v>#REF!</v>
      </c>
      <c r="C975" s="47" t="e">
        <f t="shared" si="524"/>
        <v>#REF!</v>
      </c>
      <c r="D975" s="47" t="e">
        <f t="shared" si="524"/>
        <v>#REF!</v>
      </c>
      <c r="E975" s="47" t="e">
        <f t="shared" si="524"/>
        <v>#REF!</v>
      </c>
      <c r="F975" s="47" t="e">
        <f t="shared" si="524"/>
        <v>#REF!</v>
      </c>
      <c r="G975" s="47" t="e">
        <f t="shared" si="524"/>
        <v>#REF!</v>
      </c>
      <c r="H975" s="47" t="e">
        <f t="shared" si="524"/>
        <v>#REF!</v>
      </c>
    </row>
    <row r="976" spans="1:8" ht="12.75" hidden="1" x14ac:dyDescent="0.2">
      <c r="A976" s="47" t="e">
        <f t="shared" ref="A976:H976" si="525">#REF!</f>
        <v>#REF!</v>
      </c>
      <c r="B976" s="47" t="e">
        <f t="shared" si="525"/>
        <v>#REF!</v>
      </c>
      <c r="C976" s="47" t="e">
        <f t="shared" si="525"/>
        <v>#REF!</v>
      </c>
      <c r="D976" s="47" t="e">
        <f t="shared" si="525"/>
        <v>#REF!</v>
      </c>
      <c r="E976" s="47" t="e">
        <f t="shared" si="525"/>
        <v>#REF!</v>
      </c>
      <c r="F976" s="47" t="e">
        <f t="shared" si="525"/>
        <v>#REF!</v>
      </c>
      <c r="G976" s="47" t="e">
        <f t="shared" si="525"/>
        <v>#REF!</v>
      </c>
      <c r="H976" s="47" t="e">
        <f t="shared" si="525"/>
        <v>#REF!</v>
      </c>
    </row>
    <row r="977" spans="1:8" ht="12.75" hidden="1" x14ac:dyDescent="0.2">
      <c r="A977" s="47" t="e">
        <f t="shared" ref="A977:H977" si="526">#REF!</f>
        <v>#REF!</v>
      </c>
      <c r="B977" s="47" t="e">
        <f t="shared" si="526"/>
        <v>#REF!</v>
      </c>
      <c r="C977" s="47" t="e">
        <f t="shared" si="526"/>
        <v>#REF!</v>
      </c>
      <c r="D977" s="47" t="e">
        <f t="shared" si="526"/>
        <v>#REF!</v>
      </c>
      <c r="E977" s="47" t="e">
        <f t="shared" si="526"/>
        <v>#REF!</v>
      </c>
      <c r="F977" s="47" t="e">
        <f t="shared" si="526"/>
        <v>#REF!</v>
      </c>
      <c r="G977" s="47" t="e">
        <f t="shared" si="526"/>
        <v>#REF!</v>
      </c>
      <c r="H977" s="47" t="e">
        <f t="shared" si="526"/>
        <v>#REF!</v>
      </c>
    </row>
    <row r="978" spans="1:8" ht="12.75" hidden="1" x14ac:dyDescent="0.2">
      <c r="A978" s="47" t="e">
        <f t="shared" ref="A978:H978" si="527">#REF!</f>
        <v>#REF!</v>
      </c>
      <c r="B978" s="47" t="e">
        <f t="shared" si="527"/>
        <v>#REF!</v>
      </c>
      <c r="C978" s="47" t="e">
        <f t="shared" si="527"/>
        <v>#REF!</v>
      </c>
      <c r="D978" s="47" t="e">
        <f t="shared" si="527"/>
        <v>#REF!</v>
      </c>
      <c r="E978" s="47" t="e">
        <f t="shared" si="527"/>
        <v>#REF!</v>
      </c>
      <c r="F978" s="47" t="e">
        <f t="shared" si="527"/>
        <v>#REF!</v>
      </c>
      <c r="G978" s="47" t="e">
        <f t="shared" si="527"/>
        <v>#REF!</v>
      </c>
      <c r="H978" s="47" t="e">
        <f t="shared" si="527"/>
        <v>#REF!</v>
      </c>
    </row>
    <row r="979" spans="1:8" ht="12.75" hidden="1" x14ac:dyDescent="0.2">
      <c r="A979" s="47" t="e">
        <f t="shared" ref="A979:H979" si="528">#REF!</f>
        <v>#REF!</v>
      </c>
      <c r="B979" s="47" t="e">
        <f t="shared" si="528"/>
        <v>#REF!</v>
      </c>
      <c r="C979" s="47" t="e">
        <f t="shared" si="528"/>
        <v>#REF!</v>
      </c>
      <c r="D979" s="47" t="e">
        <f t="shared" si="528"/>
        <v>#REF!</v>
      </c>
      <c r="E979" s="47" t="e">
        <f t="shared" si="528"/>
        <v>#REF!</v>
      </c>
      <c r="F979" s="47" t="e">
        <f t="shared" si="528"/>
        <v>#REF!</v>
      </c>
      <c r="G979" s="47" t="e">
        <f t="shared" si="528"/>
        <v>#REF!</v>
      </c>
      <c r="H979" s="47" t="e">
        <f t="shared" si="528"/>
        <v>#REF!</v>
      </c>
    </row>
    <row r="980" spans="1:8" ht="12.75" hidden="1" x14ac:dyDescent="0.2">
      <c r="A980" s="47" t="e">
        <f t="shared" ref="A980:H980" si="529">#REF!</f>
        <v>#REF!</v>
      </c>
      <c r="B980" s="47" t="e">
        <f t="shared" si="529"/>
        <v>#REF!</v>
      </c>
      <c r="C980" s="47" t="e">
        <f t="shared" si="529"/>
        <v>#REF!</v>
      </c>
      <c r="D980" s="47" t="e">
        <f t="shared" si="529"/>
        <v>#REF!</v>
      </c>
      <c r="E980" s="47" t="e">
        <f t="shared" si="529"/>
        <v>#REF!</v>
      </c>
      <c r="F980" s="47" t="e">
        <f t="shared" si="529"/>
        <v>#REF!</v>
      </c>
      <c r="G980" s="47" t="e">
        <f t="shared" si="529"/>
        <v>#REF!</v>
      </c>
      <c r="H980" s="47" t="e">
        <f t="shared" si="529"/>
        <v>#REF!</v>
      </c>
    </row>
    <row r="981" spans="1:8" ht="12.75" hidden="1" x14ac:dyDescent="0.2">
      <c r="A981" s="47" t="e">
        <f t="shared" ref="A981:H981" si="530">#REF!</f>
        <v>#REF!</v>
      </c>
      <c r="B981" s="47" t="e">
        <f t="shared" si="530"/>
        <v>#REF!</v>
      </c>
      <c r="C981" s="47" t="e">
        <f t="shared" si="530"/>
        <v>#REF!</v>
      </c>
      <c r="D981" s="47" t="e">
        <f t="shared" si="530"/>
        <v>#REF!</v>
      </c>
      <c r="E981" s="47" t="e">
        <f t="shared" si="530"/>
        <v>#REF!</v>
      </c>
      <c r="F981" s="47" t="e">
        <f t="shared" si="530"/>
        <v>#REF!</v>
      </c>
      <c r="G981" s="47" t="e">
        <f t="shared" si="530"/>
        <v>#REF!</v>
      </c>
      <c r="H981" s="47" t="e">
        <f t="shared" si="530"/>
        <v>#REF!</v>
      </c>
    </row>
    <row r="982" spans="1:8" ht="12.75" hidden="1" x14ac:dyDescent="0.2">
      <c r="A982" s="47" t="e">
        <f t="shared" ref="A982:H982" si="531">#REF!</f>
        <v>#REF!</v>
      </c>
      <c r="B982" s="47" t="e">
        <f t="shared" si="531"/>
        <v>#REF!</v>
      </c>
      <c r="C982" s="47" t="e">
        <f t="shared" si="531"/>
        <v>#REF!</v>
      </c>
      <c r="D982" s="47" t="e">
        <f t="shared" si="531"/>
        <v>#REF!</v>
      </c>
      <c r="E982" s="47" t="e">
        <f t="shared" si="531"/>
        <v>#REF!</v>
      </c>
      <c r="F982" s="47" t="e">
        <f t="shared" si="531"/>
        <v>#REF!</v>
      </c>
      <c r="G982" s="47" t="e">
        <f t="shared" si="531"/>
        <v>#REF!</v>
      </c>
      <c r="H982" s="47" t="e">
        <f t="shared" si="531"/>
        <v>#REF!</v>
      </c>
    </row>
    <row r="983" spans="1:8" ht="12.75" hidden="1" x14ac:dyDescent="0.2">
      <c r="A983" s="47" t="e">
        <f t="shared" ref="A983:H983" si="532">#REF!</f>
        <v>#REF!</v>
      </c>
      <c r="B983" s="47" t="e">
        <f t="shared" si="532"/>
        <v>#REF!</v>
      </c>
      <c r="C983" s="47" t="e">
        <f t="shared" si="532"/>
        <v>#REF!</v>
      </c>
      <c r="D983" s="47" t="e">
        <f t="shared" si="532"/>
        <v>#REF!</v>
      </c>
      <c r="E983" s="47" t="e">
        <f t="shared" si="532"/>
        <v>#REF!</v>
      </c>
      <c r="F983" s="47" t="e">
        <f t="shared" si="532"/>
        <v>#REF!</v>
      </c>
      <c r="G983" s="47" t="e">
        <f t="shared" si="532"/>
        <v>#REF!</v>
      </c>
      <c r="H983" s="47" t="e">
        <f t="shared" si="532"/>
        <v>#REF!</v>
      </c>
    </row>
    <row r="984" spans="1:8" ht="12.75" hidden="1" x14ac:dyDescent="0.2">
      <c r="A984" s="47" t="e">
        <f t="shared" ref="A984:H984" si="533">#REF!</f>
        <v>#REF!</v>
      </c>
      <c r="B984" s="47" t="e">
        <f t="shared" si="533"/>
        <v>#REF!</v>
      </c>
      <c r="C984" s="47" t="e">
        <f t="shared" si="533"/>
        <v>#REF!</v>
      </c>
      <c r="D984" s="47" t="e">
        <f t="shared" si="533"/>
        <v>#REF!</v>
      </c>
      <c r="E984" s="47" t="e">
        <f t="shared" si="533"/>
        <v>#REF!</v>
      </c>
      <c r="F984" s="47" t="e">
        <f t="shared" si="533"/>
        <v>#REF!</v>
      </c>
      <c r="G984" s="47" t="e">
        <f t="shared" si="533"/>
        <v>#REF!</v>
      </c>
      <c r="H984" s="47" t="e">
        <f t="shared" si="533"/>
        <v>#REF!</v>
      </c>
    </row>
    <row r="985" spans="1:8" ht="12.75" hidden="1" x14ac:dyDescent="0.2">
      <c r="A985" s="47" t="e">
        <f t="shared" ref="A985:H985" si="534">#REF!</f>
        <v>#REF!</v>
      </c>
      <c r="B985" s="47" t="e">
        <f t="shared" si="534"/>
        <v>#REF!</v>
      </c>
      <c r="C985" s="47" t="e">
        <f t="shared" si="534"/>
        <v>#REF!</v>
      </c>
      <c r="D985" s="47" t="e">
        <f t="shared" si="534"/>
        <v>#REF!</v>
      </c>
      <c r="E985" s="47" t="e">
        <f t="shared" si="534"/>
        <v>#REF!</v>
      </c>
      <c r="F985" s="47" t="e">
        <f t="shared" si="534"/>
        <v>#REF!</v>
      </c>
      <c r="G985" s="47" t="e">
        <f t="shared" si="534"/>
        <v>#REF!</v>
      </c>
      <c r="H985" s="47" t="e">
        <f t="shared" si="534"/>
        <v>#REF!</v>
      </c>
    </row>
    <row r="986" spans="1:8" ht="12.75" hidden="1" x14ac:dyDescent="0.2">
      <c r="A986" s="47" t="e">
        <f t="shared" ref="A986:H986" si="535">#REF!</f>
        <v>#REF!</v>
      </c>
      <c r="B986" s="47" t="e">
        <f t="shared" si="535"/>
        <v>#REF!</v>
      </c>
      <c r="C986" s="47" t="e">
        <f t="shared" si="535"/>
        <v>#REF!</v>
      </c>
      <c r="D986" s="47" t="e">
        <f t="shared" si="535"/>
        <v>#REF!</v>
      </c>
      <c r="E986" s="47" t="e">
        <f t="shared" si="535"/>
        <v>#REF!</v>
      </c>
      <c r="F986" s="47" t="e">
        <f t="shared" si="535"/>
        <v>#REF!</v>
      </c>
      <c r="G986" s="47" t="e">
        <f t="shared" si="535"/>
        <v>#REF!</v>
      </c>
      <c r="H986" s="47" t="e">
        <f t="shared" si="535"/>
        <v>#REF!</v>
      </c>
    </row>
    <row r="987" spans="1:8" ht="12.75" hidden="1" x14ac:dyDescent="0.2">
      <c r="A987" s="47" t="e">
        <f t="shared" ref="A987:H987" si="536">#REF!</f>
        <v>#REF!</v>
      </c>
      <c r="B987" s="47" t="e">
        <f t="shared" si="536"/>
        <v>#REF!</v>
      </c>
      <c r="C987" s="47" t="e">
        <f t="shared" si="536"/>
        <v>#REF!</v>
      </c>
      <c r="D987" s="47" t="e">
        <f t="shared" si="536"/>
        <v>#REF!</v>
      </c>
      <c r="E987" s="47" t="e">
        <f t="shared" si="536"/>
        <v>#REF!</v>
      </c>
      <c r="F987" s="47" t="e">
        <f t="shared" si="536"/>
        <v>#REF!</v>
      </c>
      <c r="G987" s="47" t="e">
        <f t="shared" si="536"/>
        <v>#REF!</v>
      </c>
      <c r="H987" s="47" t="e">
        <f t="shared" si="536"/>
        <v>#REF!</v>
      </c>
    </row>
    <row r="988" spans="1:8" ht="12.75" hidden="1" x14ac:dyDescent="0.2">
      <c r="A988" s="47" t="e">
        <f t="shared" ref="A988:H988" si="537">#REF!</f>
        <v>#REF!</v>
      </c>
      <c r="B988" s="47" t="e">
        <f t="shared" si="537"/>
        <v>#REF!</v>
      </c>
      <c r="C988" s="47" t="e">
        <f t="shared" si="537"/>
        <v>#REF!</v>
      </c>
      <c r="D988" s="47" t="e">
        <f t="shared" si="537"/>
        <v>#REF!</v>
      </c>
      <c r="E988" s="47" t="e">
        <f t="shared" si="537"/>
        <v>#REF!</v>
      </c>
      <c r="F988" s="47" t="e">
        <f t="shared" si="537"/>
        <v>#REF!</v>
      </c>
      <c r="G988" s="47" t="e">
        <f t="shared" si="537"/>
        <v>#REF!</v>
      </c>
      <c r="H988" s="47" t="e">
        <f t="shared" si="537"/>
        <v>#REF!</v>
      </c>
    </row>
    <row r="989" spans="1:8" ht="12.75" hidden="1" x14ac:dyDescent="0.2">
      <c r="A989" s="47" t="e">
        <f t="shared" ref="A989:H989" si="538">#REF!</f>
        <v>#REF!</v>
      </c>
      <c r="B989" s="47" t="e">
        <f t="shared" si="538"/>
        <v>#REF!</v>
      </c>
      <c r="C989" s="47" t="e">
        <f t="shared" si="538"/>
        <v>#REF!</v>
      </c>
      <c r="D989" s="47" t="e">
        <f t="shared" si="538"/>
        <v>#REF!</v>
      </c>
      <c r="E989" s="47" t="e">
        <f t="shared" si="538"/>
        <v>#REF!</v>
      </c>
      <c r="F989" s="47" t="e">
        <f t="shared" si="538"/>
        <v>#REF!</v>
      </c>
      <c r="G989" s="47" t="e">
        <f t="shared" si="538"/>
        <v>#REF!</v>
      </c>
      <c r="H989" s="47" t="e">
        <f t="shared" si="538"/>
        <v>#REF!</v>
      </c>
    </row>
    <row r="990" spans="1:8" ht="12.75" hidden="1" x14ac:dyDescent="0.2">
      <c r="A990" s="47" t="e">
        <f t="shared" ref="A990:H990" si="539">#REF!</f>
        <v>#REF!</v>
      </c>
      <c r="B990" s="47" t="e">
        <f t="shared" si="539"/>
        <v>#REF!</v>
      </c>
      <c r="C990" s="47" t="e">
        <f t="shared" si="539"/>
        <v>#REF!</v>
      </c>
      <c r="D990" s="47" t="e">
        <f t="shared" si="539"/>
        <v>#REF!</v>
      </c>
      <c r="E990" s="47" t="e">
        <f t="shared" si="539"/>
        <v>#REF!</v>
      </c>
      <c r="F990" s="47" t="e">
        <f t="shared" si="539"/>
        <v>#REF!</v>
      </c>
      <c r="G990" s="47" t="e">
        <f t="shared" si="539"/>
        <v>#REF!</v>
      </c>
      <c r="H990" s="47" t="e">
        <f t="shared" si="539"/>
        <v>#REF!</v>
      </c>
    </row>
    <row r="991" spans="1:8" ht="12.75" hidden="1" x14ac:dyDescent="0.2">
      <c r="A991" s="47" t="e">
        <f t="shared" ref="A991:H991" si="540">#REF!</f>
        <v>#REF!</v>
      </c>
      <c r="B991" s="47" t="e">
        <f t="shared" si="540"/>
        <v>#REF!</v>
      </c>
      <c r="C991" s="47" t="e">
        <f t="shared" si="540"/>
        <v>#REF!</v>
      </c>
      <c r="D991" s="47" t="e">
        <f t="shared" si="540"/>
        <v>#REF!</v>
      </c>
      <c r="E991" s="47" t="e">
        <f t="shared" si="540"/>
        <v>#REF!</v>
      </c>
      <c r="F991" s="47" t="e">
        <f t="shared" si="540"/>
        <v>#REF!</v>
      </c>
      <c r="G991" s="47" t="e">
        <f t="shared" si="540"/>
        <v>#REF!</v>
      </c>
      <c r="H991" s="47" t="e">
        <f t="shared" si="540"/>
        <v>#REF!</v>
      </c>
    </row>
    <row r="992" spans="1:8" ht="12.75" hidden="1" x14ac:dyDescent="0.2">
      <c r="A992" s="47" t="e">
        <f t="shared" ref="A992:H992" si="541">#REF!</f>
        <v>#REF!</v>
      </c>
      <c r="B992" s="47" t="e">
        <f t="shared" si="541"/>
        <v>#REF!</v>
      </c>
      <c r="C992" s="47" t="e">
        <f t="shared" si="541"/>
        <v>#REF!</v>
      </c>
      <c r="D992" s="47" t="e">
        <f t="shared" si="541"/>
        <v>#REF!</v>
      </c>
      <c r="E992" s="47" t="e">
        <f t="shared" si="541"/>
        <v>#REF!</v>
      </c>
      <c r="F992" s="47" t="e">
        <f t="shared" si="541"/>
        <v>#REF!</v>
      </c>
      <c r="G992" s="47" t="e">
        <f t="shared" si="541"/>
        <v>#REF!</v>
      </c>
      <c r="H992" s="47" t="e">
        <f t="shared" si="541"/>
        <v>#REF!</v>
      </c>
    </row>
    <row r="993" spans="1:8" ht="12.75" hidden="1" x14ac:dyDescent="0.2">
      <c r="A993" s="47" t="e">
        <f t="shared" ref="A993:H993" si="542">#REF!</f>
        <v>#REF!</v>
      </c>
      <c r="B993" s="47" t="e">
        <f t="shared" si="542"/>
        <v>#REF!</v>
      </c>
      <c r="C993" s="47" t="e">
        <f t="shared" si="542"/>
        <v>#REF!</v>
      </c>
      <c r="D993" s="47" t="e">
        <f t="shared" si="542"/>
        <v>#REF!</v>
      </c>
      <c r="E993" s="47" t="e">
        <f t="shared" si="542"/>
        <v>#REF!</v>
      </c>
      <c r="F993" s="47" t="e">
        <f t="shared" si="542"/>
        <v>#REF!</v>
      </c>
      <c r="G993" s="47" t="e">
        <f t="shared" si="542"/>
        <v>#REF!</v>
      </c>
      <c r="H993" s="47" t="e">
        <f t="shared" si="542"/>
        <v>#REF!</v>
      </c>
    </row>
    <row r="994" spans="1:8" ht="12.75" hidden="1" x14ac:dyDescent="0.2">
      <c r="A994" s="47" t="e">
        <f t="shared" ref="A994:H994" si="543">#REF!</f>
        <v>#REF!</v>
      </c>
      <c r="B994" s="47" t="e">
        <f t="shared" si="543"/>
        <v>#REF!</v>
      </c>
      <c r="C994" s="47" t="e">
        <f t="shared" si="543"/>
        <v>#REF!</v>
      </c>
      <c r="D994" s="47" t="e">
        <f t="shared" si="543"/>
        <v>#REF!</v>
      </c>
      <c r="E994" s="47" t="e">
        <f t="shared" si="543"/>
        <v>#REF!</v>
      </c>
      <c r="F994" s="47" t="e">
        <f t="shared" si="543"/>
        <v>#REF!</v>
      </c>
      <c r="G994" s="47" t="e">
        <f t="shared" si="543"/>
        <v>#REF!</v>
      </c>
      <c r="H994" s="47" t="e">
        <f t="shared" si="543"/>
        <v>#REF!</v>
      </c>
    </row>
    <row r="995" spans="1:8" ht="12.75" hidden="1" x14ac:dyDescent="0.2">
      <c r="A995" s="47" t="e">
        <f t="shared" ref="A995:H995" si="544">#REF!</f>
        <v>#REF!</v>
      </c>
      <c r="B995" s="47" t="e">
        <f t="shared" si="544"/>
        <v>#REF!</v>
      </c>
      <c r="C995" s="47" t="e">
        <f t="shared" si="544"/>
        <v>#REF!</v>
      </c>
      <c r="D995" s="47" t="e">
        <f t="shared" si="544"/>
        <v>#REF!</v>
      </c>
      <c r="E995" s="47" t="e">
        <f t="shared" si="544"/>
        <v>#REF!</v>
      </c>
      <c r="F995" s="47" t="e">
        <f t="shared" si="544"/>
        <v>#REF!</v>
      </c>
      <c r="G995" s="47" t="e">
        <f t="shared" si="544"/>
        <v>#REF!</v>
      </c>
      <c r="H995" s="47" t="e">
        <f t="shared" si="544"/>
        <v>#REF!</v>
      </c>
    </row>
    <row r="996" spans="1:8" ht="12.75" hidden="1" x14ac:dyDescent="0.2">
      <c r="A996" s="47" t="e">
        <f t="shared" ref="A996:H996" si="545">#REF!</f>
        <v>#REF!</v>
      </c>
      <c r="B996" s="47" t="e">
        <f t="shared" si="545"/>
        <v>#REF!</v>
      </c>
      <c r="C996" s="47" t="e">
        <f t="shared" si="545"/>
        <v>#REF!</v>
      </c>
      <c r="D996" s="47" t="e">
        <f t="shared" si="545"/>
        <v>#REF!</v>
      </c>
      <c r="E996" s="47" t="e">
        <f t="shared" si="545"/>
        <v>#REF!</v>
      </c>
      <c r="F996" s="47" t="e">
        <f t="shared" si="545"/>
        <v>#REF!</v>
      </c>
      <c r="G996" s="47" t="e">
        <f t="shared" si="545"/>
        <v>#REF!</v>
      </c>
      <c r="H996" s="47" t="e">
        <f t="shared" si="545"/>
        <v>#REF!</v>
      </c>
    </row>
    <row r="997" spans="1:8" ht="12.75" hidden="1" x14ac:dyDescent="0.2">
      <c r="A997" s="47" t="e">
        <f t="shared" ref="A997:H997" si="546">#REF!</f>
        <v>#REF!</v>
      </c>
      <c r="B997" s="47" t="e">
        <f t="shared" si="546"/>
        <v>#REF!</v>
      </c>
      <c r="C997" s="47" t="e">
        <f t="shared" si="546"/>
        <v>#REF!</v>
      </c>
      <c r="D997" s="47" t="e">
        <f t="shared" si="546"/>
        <v>#REF!</v>
      </c>
      <c r="E997" s="47" t="e">
        <f t="shared" si="546"/>
        <v>#REF!</v>
      </c>
      <c r="F997" s="47" t="e">
        <f t="shared" si="546"/>
        <v>#REF!</v>
      </c>
      <c r="G997" s="47" t="e">
        <f t="shared" si="546"/>
        <v>#REF!</v>
      </c>
      <c r="H997" s="47" t="e">
        <f t="shared" si="546"/>
        <v>#REF!</v>
      </c>
    </row>
    <row r="998" spans="1:8" ht="12.75" hidden="1" x14ac:dyDescent="0.2">
      <c r="A998" s="47" t="e">
        <f t="shared" ref="A998:H998" si="547">#REF!</f>
        <v>#REF!</v>
      </c>
      <c r="B998" s="47" t="e">
        <f t="shared" si="547"/>
        <v>#REF!</v>
      </c>
      <c r="C998" s="47" t="e">
        <f t="shared" si="547"/>
        <v>#REF!</v>
      </c>
      <c r="D998" s="47" t="e">
        <f t="shared" si="547"/>
        <v>#REF!</v>
      </c>
      <c r="E998" s="47" t="e">
        <f t="shared" si="547"/>
        <v>#REF!</v>
      </c>
      <c r="F998" s="47" t="e">
        <f t="shared" si="547"/>
        <v>#REF!</v>
      </c>
      <c r="G998" s="47" t="e">
        <f t="shared" si="547"/>
        <v>#REF!</v>
      </c>
      <c r="H998" s="47" t="e">
        <f t="shared" si="547"/>
        <v>#REF!</v>
      </c>
    </row>
    <row r="999" spans="1:8" ht="12.75" hidden="1" x14ac:dyDescent="0.2">
      <c r="A999" s="47" t="e">
        <f t="shared" ref="A999:H999" si="548">#REF!</f>
        <v>#REF!</v>
      </c>
      <c r="B999" s="47" t="e">
        <f t="shared" si="548"/>
        <v>#REF!</v>
      </c>
      <c r="C999" s="47" t="e">
        <f t="shared" si="548"/>
        <v>#REF!</v>
      </c>
      <c r="D999" s="47" t="e">
        <f t="shared" si="548"/>
        <v>#REF!</v>
      </c>
      <c r="E999" s="47" t="e">
        <f t="shared" si="548"/>
        <v>#REF!</v>
      </c>
      <c r="F999" s="47" t="e">
        <f t="shared" si="548"/>
        <v>#REF!</v>
      </c>
      <c r="G999" s="47" t="e">
        <f t="shared" si="548"/>
        <v>#REF!</v>
      </c>
      <c r="H999" s="47" t="e">
        <f t="shared" si="548"/>
        <v>#REF!</v>
      </c>
    </row>
    <row r="1000" spans="1:8" ht="12.75" hidden="1" x14ac:dyDescent="0.2">
      <c r="A1000" s="47" t="e">
        <f t="shared" ref="A1000:H1000" si="549">#REF!</f>
        <v>#REF!</v>
      </c>
      <c r="B1000" s="47" t="e">
        <f t="shared" si="549"/>
        <v>#REF!</v>
      </c>
      <c r="C1000" s="47" t="e">
        <f t="shared" si="549"/>
        <v>#REF!</v>
      </c>
      <c r="D1000" s="47" t="e">
        <f t="shared" si="549"/>
        <v>#REF!</v>
      </c>
      <c r="E1000" s="47" t="e">
        <f t="shared" si="549"/>
        <v>#REF!</v>
      </c>
      <c r="F1000" s="47" t="e">
        <f t="shared" si="549"/>
        <v>#REF!</v>
      </c>
      <c r="G1000" s="47" t="e">
        <f t="shared" si="549"/>
        <v>#REF!</v>
      </c>
      <c r="H1000" s="47" t="e">
        <f t="shared" si="549"/>
        <v>#REF!</v>
      </c>
    </row>
    <row r="1001" spans="1:8" ht="12.75" hidden="1" x14ac:dyDescent="0.2">
      <c r="A1001" s="47" t="e">
        <f t="shared" ref="A1001:H1001" si="550">#REF!</f>
        <v>#REF!</v>
      </c>
      <c r="B1001" s="47" t="e">
        <f t="shared" si="550"/>
        <v>#REF!</v>
      </c>
      <c r="C1001" s="47" t="e">
        <f t="shared" si="550"/>
        <v>#REF!</v>
      </c>
      <c r="D1001" s="47" t="e">
        <f t="shared" si="550"/>
        <v>#REF!</v>
      </c>
      <c r="E1001" s="47" t="e">
        <f t="shared" si="550"/>
        <v>#REF!</v>
      </c>
      <c r="F1001" s="47" t="e">
        <f t="shared" si="550"/>
        <v>#REF!</v>
      </c>
      <c r="G1001" s="47" t="e">
        <f t="shared" si="550"/>
        <v>#REF!</v>
      </c>
      <c r="H1001" s="47" t="e">
        <f t="shared" si="550"/>
        <v>#REF!</v>
      </c>
    </row>
    <row r="1002" spans="1:8" ht="12.75" hidden="1" x14ac:dyDescent="0.2">
      <c r="A1002" s="47" t="e">
        <f t="shared" ref="A1002:H1002" si="551">#REF!</f>
        <v>#REF!</v>
      </c>
      <c r="B1002" s="47" t="e">
        <f t="shared" si="551"/>
        <v>#REF!</v>
      </c>
      <c r="C1002" s="47" t="e">
        <f t="shared" si="551"/>
        <v>#REF!</v>
      </c>
      <c r="D1002" s="47" t="e">
        <f t="shared" si="551"/>
        <v>#REF!</v>
      </c>
      <c r="E1002" s="47" t="e">
        <f t="shared" si="551"/>
        <v>#REF!</v>
      </c>
      <c r="F1002" s="47" t="e">
        <f t="shared" si="551"/>
        <v>#REF!</v>
      </c>
      <c r="G1002" s="47" t="e">
        <f t="shared" si="551"/>
        <v>#REF!</v>
      </c>
      <c r="H1002" s="47" t="e">
        <f t="shared" si="551"/>
        <v>#REF!</v>
      </c>
    </row>
    <row r="1003" spans="1:8" ht="12.75" hidden="1" x14ac:dyDescent="0.2">
      <c r="A1003" s="47" t="e">
        <f t="shared" ref="A1003:H1003" si="552">#REF!</f>
        <v>#REF!</v>
      </c>
      <c r="B1003" s="47" t="e">
        <f t="shared" si="552"/>
        <v>#REF!</v>
      </c>
      <c r="C1003" s="47" t="e">
        <f t="shared" si="552"/>
        <v>#REF!</v>
      </c>
      <c r="D1003" s="47" t="e">
        <f t="shared" si="552"/>
        <v>#REF!</v>
      </c>
      <c r="E1003" s="47" t="e">
        <f t="shared" si="552"/>
        <v>#REF!</v>
      </c>
      <c r="F1003" s="47" t="e">
        <f t="shared" si="552"/>
        <v>#REF!</v>
      </c>
      <c r="G1003" s="47" t="e">
        <f t="shared" si="552"/>
        <v>#REF!</v>
      </c>
      <c r="H1003" s="47" t="e">
        <f t="shared" si="552"/>
        <v>#REF!</v>
      </c>
    </row>
    <row r="1004" spans="1:8" ht="12.75" hidden="1" x14ac:dyDescent="0.2">
      <c r="A1004" s="47" t="e">
        <f t="shared" ref="A1004:H1004" si="553">#REF!</f>
        <v>#REF!</v>
      </c>
      <c r="B1004" s="47" t="e">
        <f t="shared" si="553"/>
        <v>#REF!</v>
      </c>
      <c r="C1004" s="47" t="e">
        <f t="shared" si="553"/>
        <v>#REF!</v>
      </c>
      <c r="D1004" s="47" t="e">
        <f t="shared" si="553"/>
        <v>#REF!</v>
      </c>
      <c r="E1004" s="47" t="e">
        <f t="shared" si="553"/>
        <v>#REF!</v>
      </c>
      <c r="F1004" s="47" t="e">
        <f t="shared" si="553"/>
        <v>#REF!</v>
      </c>
      <c r="G1004" s="47" t="e">
        <f t="shared" si="553"/>
        <v>#REF!</v>
      </c>
      <c r="H1004" s="47" t="e">
        <f t="shared" si="553"/>
        <v>#REF!</v>
      </c>
    </row>
    <row r="1005" spans="1:8" ht="12.75" hidden="1" x14ac:dyDescent="0.2">
      <c r="A1005" s="47" t="e">
        <f t="shared" ref="A1005:H1005" si="554">#REF!</f>
        <v>#REF!</v>
      </c>
      <c r="B1005" s="47" t="e">
        <f t="shared" si="554"/>
        <v>#REF!</v>
      </c>
      <c r="C1005" s="47" t="e">
        <f t="shared" si="554"/>
        <v>#REF!</v>
      </c>
      <c r="D1005" s="47" t="e">
        <f t="shared" si="554"/>
        <v>#REF!</v>
      </c>
      <c r="E1005" s="47" t="e">
        <f t="shared" si="554"/>
        <v>#REF!</v>
      </c>
      <c r="F1005" s="47" t="e">
        <f t="shared" si="554"/>
        <v>#REF!</v>
      </c>
      <c r="G1005" s="47" t="e">
        <f t="shared" si="554"/>
        <v>#REF!</v>
      </c>
      <c r="H1005" s="47" t="e">
        <f t="shared" si="554"/>
        <v>#REF!</v>
      </c>
    </row>
    <row r="1006" spans="1:8" ht="12.75" hidden="1" x14ac:dyDescent="0.2">
      <c r="A1006" s="47" t="e">
        <f t="shared" ref="A1006:H1006" si="555">#REF!</f>
        <v>#REF!</v>
      </c>
      <c r="B1006" s="47" t="e">
        <f t="shared" si="555"/>
        <v>#REF!</v>
      </c>
      <c r="C1006" s="47" t="e">
        <f t="shared" si="555"/>
        <v>#REF!</v>
      </c>
      <c r="D1006" s="47" t="e">
        <f t="shared" si="555"/>
        <v>#REF!</v>
      </c>
      <c r="E1006" s="47" t="e">
        <f t="shared" si="555"/>
        <v>#REF!</v>
      </c>
      <c r="F1006" s="47" t="e">
        <f t="shared" si="555"/>
        <v>#REF!</v>
      </c>
      <c r="G1006" s="47" t="e">
        <f t="shared" si="555"/>
        <v>#REF!</v>
      </c>
      <c r="H1006" s="47" t="e">
        <f t="shared" si="555"/>
        <v>#REF!</v>
      </c>
    </row>
    <row r="1007" spans="1:8" ht="12.75" hidden="1" x14ac:dyDescent="0.2">
      <c r="A1007" s="47" t="e">
        <f t="shared" ref="A1007:H1007" si="556">#REF!</f>
        <v>#REF!</v>
      </c>
      <c r="B1007" s="47" t="e">
        <f t="shared" si="556"/>
        <v>#REF!</v>
      </c>
      <c r="C1007" s="47" t="e">
        <f t="shared" si="556"/>
        <v>#REF!</v>
      </c>
      <c r="D1007" s="47" t="e">
        <f t="shared" si="556"/>
        <v>#REF!</v>
      </c>
      <c r="E1007" s="47" t="e">
        <f t="shared" si="556"/>
        <v>#REF!</v>
      </c>
      <c r="F1007" s="47" t="e">
        <f t="shared" si="556"/>
        <v>#REF!</v>
      </c>
      <c r="G1007" s="47" t="e">
        <f t="shared" si="556"/>
        <v>#REF!</v>
      </c>
      <c r="H1007" s="47" t="e">
        <f t="shared" si="556"/>
        <v>#REF!</v>
      </c>
    </row>
    <row r="1008" spans="1:8" ht="12.75" hidden="1" x14ac:dyDescent="0.2">
      <c r="A1008" s="47" t="e">
        <f t="shared" ref="A1008:H1008" si="557">#REF!</f>
        <v>#REF!</v>
      </c>
      <c r="B1008" s="47" t="e">
        <f t="shared" si="557"/>
        <v>#REF!</v>
      </c>
      <c r="C1008" s="47" t="e">
        <f t="shared" si="557"/>
        <v>#REF!</v>
      </c>
      <c r="D1008" s="47" t="e">
        <f t="shared" si="557"/>
        <v>#REF!</v>
      </c>
      <c r="E1008" s="47" t="e">
        <f t="shared" si="557"/>
        <v>#REF!</v>
      </c>
      <c r="F1008" s="47" t="e">
        <f t="shared" si="557"/>
        <v>#REF!</v>
      </c>
      <c r="G1008" s="47" t="e">
        <f t="shared" si="557"/>
        <v>#REF!</v>
      </c>
      <c r="H1008" s="47" t="e">
        <f t="shared" si="557"/>
        <v>#REF!</v>
      </c>
    </row>
    <row r="1009" spans="1:8" ht="12.75" hidden="1" x14ac:dyDescent="0.2">
      <c r="A1009" s="47" t="e">
        <f t="shared" ref="A1009:H1009" si="558">#REF!</f>
        <v>#REF!</v>
      </c>
      <c r="B1009" s="47" t="e">
        <f t="shared" si="558"/>
        <v>#REF!</v>
      </c>
      <c r="C1009" s="47" t="e">
        <f t="shared" si="558"/>
        <v>#REF!</v>
      </c>
      <c r="D1009" s="47" t="e">
        <f t="shared" si="558"/>
        <v>#REF!</v>
      </c>
      <c r="E1009" s="47" t="e">
        <f t="shared" si="558"/>
        <v>#REF!</v>
      </c>
      <c r="F1009" s="47" t="e">
        <f t="shared" si="558"/>
        <v>#REF!</v>
      </c>
      <c r="G1009" s="47" t="e">
        <f t="shared" si="558"/>
        <v>#REF!</v>
      </c>
      <c r="H1009" s="47" t="e">
        <f t="shared" si="558"/>
        <v>#REF!</v>
      </c>
    </row>
    <row r="1010" spans="1:8" ht="12.75" hidden="1" x14ac:dyDescent="0.2">
      <c r="A1010" s="47" t="e">
        <f t="shared" ref="A1010:H1010" si="559">#REF!</f>
        <v>#REF!</v>
      </c>
      <c r="B1010" s="47" t="e">
        <f t="shared" si="559"/>
        <v>#REF!</v>
      </c>
      <c r="C1010" s="47" t="e">
        <f t="shared" si="559"/>
        <v>#REF!</v>
      </c>
      <c r="D1010" s="47" t="e">
        <f t="shared" si="559"/>
        <v>#REF!</v>
      </c>
      <c r="E1010" s="47" t="e">
        <f t="shared" si="559"/>
        <v>#REF!</v>
      </c>
      <c r="F1010" s="47" t="e">
        <f t="shared" si="559"/>
        <v>#REF!</v>
      </c>
      <c r="G1010" s="47" t="e">
        <f t="shared" si="559"/>
        <v>#REF!</v>
      </c>
      <c r="H1010" s="47" t="e">
        <f t="shared" si="559"/>
        <v>#REF!</v>
      </c>
    </row>
    <row r="1011" spans="1:8" ht="12.75" hidden="1" x14ac:dyDescent="0.2">
      <c r="A1011" s="47" t="e">
        <f t="shared" ref="A1011:H1011" si="560">#REF!</f>
        <v>#REF!</v>
      </c>
      <c r="B1011" s="47" t="e">
        <f t="shared" si="560"/>
        <v>#REF!</v>
      </c>
      <c r="C1011" s="47" t="e">
        <f t="shared" si="560"/>
        <v>#REF!</v>
      </c>
      <c r="D1011" s="47" t="e">
        <f t="shared" si="560"/>
        <v>#REF!</v>
      </c>
      <c r="E1011" s="47" t="e">
        <f t="shared" si="560"/>
        <v>#REF!</v>
      </c>
      <c r="F1011" s="47" t="e">
        <f t="shared" si="560"/>
        <v>#REF!</v>
      </c>
      <c r="G1011" s="47" t="e">
        <f t="shared" si="560"/>
        <v>#REF!</v>
      </c>
      <c r="H1011" s="47" t="e">
        <f t="shared" si="560"/>
        <v>#REF!</v>
      </c>
    </row>
    <row r="1012" spans="1:8" ht="12.75" hidden="1" x14ac:dyDescent="0.2">
      <c r="A1012" s="47" t="e">
        <f t="shared" ref="A1012:H1012" si="561">#REF!</f>
        <v>#REF!</v>
      </c>
      <c r="B1012" s="47" t="e">
        <f t="shared" si="561"/>
        <v>#REF!</v>
      </c>
      <c r="C1012" s="47" t="e">
        <f t="shared" si="561"/>
        <v>#REF!</v>
      </c>
      <c r="D1012" s="47" t="e">
        <f t="shared" si="561"/>
        <v>#REF!</v>
      </c>
      <c r="E1012" s="47" t="e">
        <f t="shared" si="561"/>
        <v>#REF!</v>
      </c>
      <c r="F1012" s="47" t="e">
        <f t="shared" si="561"/>
        <v>#REF!</v>
      </c>
      <c r="G1012" s="47" t="e">
        <f t="shared" si="561"/>
        <v>#REF!</v>
      </c>
      <c r="H1012" s="47" t="e">
        <f t="shared" si="561"/>
        <v>#REF!</v>
      </c>
    </row>
    <row r="1013" spans="1:8" ht="12.75" hidden="1" x14ac:dyDescent="0.2">
      <c r="A1013" s="47" t="e">
        <f t="shared" ref="A1013:H1013" si="562">#REF!</f>
        <v>#REF!</v>
      </c>
      <c r="B1013" s="47" t="e">
        <f t="shared" si="562"/>
        <v>#REF!</v>
      </c>
      <c r="C1013" s="47" t="e">
        <f t="shared" si="562"/>
        <v>#REF!</v>
      </c>
      <c r="D1013" s="47" t="e">
        <f t="shared" si="562"/>
        <v>#REF!</v>
      </c>
      <c r="E1013" s="47" t="e">
        <f t="shared" si="562"/>
        <v>#REF!</v>
      </c>
      <c r="F1013" s="47" t="e">
        <f t="shared" si="562"/>
        <v>#REF!</v>
      </c>
      <c r="G1013" s="47" t="e">
        <f t="shared" si="562"/>
        <v>#REF!</v>
      </c>
      <c r="H1013" s="47" t="e">
        <f t="shared" si="562"/>
        <v>#REF!</v>
      </c>
    </row>
    <row r="1014" spans="1:8" ht="12.75" hidden="1" x14ac:dyDescent="0.2">
      <c r="A1014" s="47" t="e">
        <f t="shared" ref="A1014:H1014" si="563">#REF!</f>
        <v>#REF!</v>
      </c>
      <c r="B1014" s="47" t="e">
        <f t="shared" si="563"/>
        <v>#REF!</v>
      </c>
      <c r="C1014" s="47" t="e">
        <f t="shared" si="563"/>
        <v>#REF!</v>
      </c>
      <c r="D1014" s="47" t="e">
        <f t="shared" si="563"/>
        <v>#REF!</v>
      </c>
      <c r="E1014" s="47" t="e">
        <f t="shared" si="563"/>
        <v>#REF!</v>
      </c>
      <c r="F1014" s="47" t="e">
        <f t="shared" si="563"/>
        <v>#REF!</v>
      </c>
      <c r="G1014" s="47" t="e">
        <f t="shared" si="563"/>
        <v>#REF!</v>
      </c>
      <c r="H1014" s="47" t="e">
        <f t="shared" si="563"/>
        <v>#REF!</v>
      </c>
    </row>
    <row r="1015" spans="1:8" ht="12.75" hidden="1" x14ac:dyDescent="0.2"/>
    <row r="1016" spans="1:8" ht="12.75" hidden="1" x14ac:dyDescent="0.2"/>
    <row r="1017" spans="1:8" ht="12.75" hidden="1" x14ac:dyDescent="0.2"/>
    <row r="1018" spans="1:8" ht="12.75" hidden="1" x14ac:dyDescent="0.2"/>
    <row r="1019" spans="1:8" ht="12.75" hidden="1" x14ac:dyDescent="0.2"/>
    <row r="1020" spans="1:8" ht="12.75" hidden="1" x14ac:dyDescent="0.2"/>
    <row r="1021" spans="1:8" ht="12.75" hidden="1" x14ac:dyDescent="0.2"/>
    <row r="1022" spans="1:8" ht="12.75" hidden="1" x14ac:dyDescent="0.2"/>
    <row r="1023" spans="1:8" ht="12.75" hidden="1" x14ac:dyDescent="0.2"/>
    <row r="1024" spans="1:8" ht="12.75" hidden="1" x14ac:dyDescent="0.2"/>
    <row r="1025" ht="12.75" hidden="1" x14ac:dyDescent="0.2"/>
    <row r="1026" ht="12.75" hidden="1" x14ac:dyDescent="0.2"/>
    <row r="1027" ht="12.75" hidden="1" x14ac:dyDescent="0.2"/>
    <row r="1028" ht="12.75" hidden="1" x14ac:dyDescent="0.2"/>
    <row r="1029" ht="12.75" hidden="1" x14ac:dyDescent="0.2"/>
    <row r="1030" ht="12.75" hidden="1" x14ac:dyDescent="0.2"/>
    <row r="1031" ht="12.75" hidden="1" x14ac:dyDescent="0.2"/>
    <row r="1032" ht="12.75" hidden="1" x14ac:dyDescent="0.2"/>
    <row r="1033" ht="12.75" hidden="1" x14ac:dyDescent="0.2"/>
    <row r="1034" ht="12.75" hidden="1" x14ac:dyDescent="0.2"/>
    <row r="1035" ht="12.75" hidden="1" x14ac:dyDescent="0.2"/>
    <row r="1036" ht="12.75" hidden="1" x14ac:dyDescent="0.2"/>
    <row r="1037" ht="12.75" hidden="1" x14ac:dyDescent="0.2"/>
    <row r="1038" ht="12.75" hidden="1" x14ac:dyDescent="0.2"/>
    <row r="1039" ht="12.75" hidden="1" x14ac:dyDescent="0.2"/>
    <row r="1040" ht="12.75" hidden="1" x14ac:dyDescent="0.2"/>
    <row r="1041" ht="12.75" hidden="1" x14ac:dyDescent="0.2"/>
    <row r="1042" ht="12.75" hidden="1" x14ac:dyDescent="0.2"/>
    <row r="1043" ht="12.75" hidden="1" x14ac:dyDescent="0.2"/>
    <row r="1044" ht="12.75" hidden="1" x14ac:dyDescent="0.2"/>
    <row r="1045" ht="12.75" hidden="1" x14ac:dyDescent="0.2"/>
    <row r="1046" ht="12.75" hidden="1" x14ac:dyDescent="0.2"/>
    <row r="1047" ht="12.75" hidden="1" x14ac:dyDescent="0.2"/>
    <row r="1048" ht="12.75" hidden="1" x14ac:dyDescent="0.2"/>
    <row r="1049" ht="12.75" hidden="1" x14ac:dyDescent="0.2"/>
    <row r="1050" ht="12.75" hidden="1" x14ac:dyDescent="0.2"/>
    <row r="1051" ht="12.75" hidden="1" x14ac:dyDescent="0.2"/>
    <row r="1052" ht="12.75" hidden="1" x14ac:dyDescent="0.2"/>
    <row r="1053" ht="12.75" hidden="1" x14ac:dyDescent="0.2"/>
    <row r="1054" ht="12.75" hidden="1" x14ac:dyDescent="0.2"/>
    <row r="1055" ht="12.75" hidden="1" x14ac:dyDescent="0.2"/>
    <row r="1056" ht="12.75" hidden="1" x14ac:dyDescent="0.2"/>
    <row r="1057" ht="12.75" hidden="1" x14ac:dyDescent="0.2"/>
    <row r="1058" ht="12.75" hidden="1" x14ac:dyDescent="0.2"/>
    <row r="1059" ht="12.75" hidden="1" x14ac:dyDescent="0.2"/>
    <row r="1060" ht="12.75" hidden="1" x14ac:dyDescent="0.2"/>
    <row r="1061" ht="12.75" hidden="1" x14ac:dyDescent="0.2"/>
    <row r="1062" ht="12.75" hidden="1" x14ac:dyDescent="0.2"/>
    <row r="1063" ht="12.75" hidden="1" x14ac:dyDescent="0.2"/>
    <row r="1064" ht="12.75" hidden="1" x14ac:dyDescent="0.2"/>
    <row r="1065" ht="12.75" hidden="1" x14ac:dyDescent="0.2"/>
    <row r="1066" ht="12.75" hidden="1" x14ac:dyDescent="0.2"/>
    <row r="1067" ht="12.75" hidden="1" x14ac:dyDescent="0.2"/>
    <row r="1068" ht="12.75" hidden="1" x14ac:dyDescent="0.2"/>
    <row r="1069" ht="12.75" hidden="1" x14ac:dyDescent="0.2"/>
    <row r="1070" ht="12.75" hidden="1" x14ac:dyDescent="0.2"/>
    <row r="1071" ht="12.75" hidden="1" x14ac:dyDescent="0.2"/>
    <row r="1072" ht="12.75" hidden="1" x14ac:dyDescent="0.2"/>
    <row r="1073" ht="12.75" hidden="1" x14ac:dyDescent="0.2"/>
    <row r="1074" ht="12.75" hidden="1" x14ac:dyDescent="0.2"/>
    <row r="1075" ht="12.75" hidden="1" x14ac:dyDescent="0.2"/>
    <row r="1076" ht="12.75" hidden="1" x14ac:dyDescent="0.2"/>
    <row r="1077" ht="12.75" hidden="1" x14ac:dyDescent="0.2"/>
    <row r="1078" ht="12.75" hidden="1" x14ac:dyDescent="0.2"/>
    <row r="1079" ht="12.75" hidden="1" x14ac:dyDescent="0.2"/>
    <row r="1080" ht="12.75" hidden="1" x14ac:dyDescent="0.2"/>
    <row r="1081" ht="12.75" hidden="1" x14ac:dyDescent="0.2"/>
    <row r="1082" ht="12.75" hidden="1" x14ac:dyDescent="0.2"/>
    <row r="1083" ht="12.75" hidden="1" x14ac:dyDescent="0.2"/>
    <row r="1084" ht="12.75" hidden="1" x14ac:dyDescent="0.2"/>
    <row r="1085" ht="12.75" hidden="1" x14ac:dyDescent="0.2"/>
    <row r="1086" ht="12.75" hidden="1" x14ac:dyDescent="0.2"/>
    <row r="1087" ht="12.75" hidden="1" x14ac:dyDescent="0.2"/>
    <row r="1088" ht="12.75" hidden="1" x14ac:dyDescent="0.2"/>
    <row r="1089" ht="12.75" hidden="1" x14ac:dyDescent="0.2"/>
    <row r="1090" ht="12.75" hidden="1" x14ac:dyDescent="0.2"/>
    <row r="1091" ht="12.75" hidden="1" x14ac:dyDescent="0.2"/>
    <row r="1092" ht="12.75" hidden="1" x14ac:dyDescent="0.2"/>
    <row r="1093" ht="12.75" hidden="1" x14ac:dyDescent="0.2"/>
    <row r="1094" ht="12.75" hidden="1" x14ac:dyDescent="0.2"/>
    <row r="1095" ht="12.75" hidden="1" x14ac:dyDescent="0.2"/>
    <row r="1096" ht="12.75" hidden="1" x14ac:dyDescent="0.2"/>
    <row r="1097" ht="12.75" hidden="1" x14ac:dyDescent="0.2"/>
    <row r="1098" ht="12.75" hidden="1" x14ac:dyDescent="0.2"/>
    <row r="1099" ht="12.75" hidden="1" x14ac:dyDescent="0.2"/>
    <row r="1100" ht="12.75" hidden="1" x14ac:dyDescent="0.2"/>
    <row r="1101" ht="12.75" hidden="1" x14ac:dyDescent="0.2"/>
    <row r="1102" ht="12.75" hidden="1" x14ac:dyDescent="0.2"/>
    <row r="1103" ht="12.75" hidden="1" x14ac:dyDescent="0.2"/>
    <row r="1104" ht="12.75" hidden="1" x14ac:dyDescent="0.2"/>
    <row r="1105" ht="12.75" hidden="1" x14ac:dyDescent="0.2"/>
    <row r="1106" ht="12.75" hidden="1" x14ac:dyDescent="0.2"/>
    <row r="1107" ht="12.75" hidden="1" x14ac:dyDescent="0.2"/>
    <row r="1108" ht="12.75" hidden="1" x14ac:dyDescent="0.2"/>
    <row r="1109" ht="12.75" hidden="1" x14ac:dyDescent="0.2"/>
    <row r="1110" ht="12.75" hidden="1" x14ac:dyDescent="0.2"/>
    <row r="1111" ht="12.75" hidden="1" x14ac:dyDescent="0.2"/>
    <row r="1112" ht="12.75" hidden="1" x14ac:dyDescent="0.2"/>
    <row r="1113" ht="12.75" hidden="1" x14ac:dyDescent="0.2"/>
    <row r="1114" ht="12.75" hidden="1" x14ac:dyDescent="0.2"/>
    <row r="1115" ht="12.75" hidden="1" x14ac:dyDescent="0.2"/>
    <row r="1116" ht="12.75" hidden="1" x14ac:dyDescent="0.2"/>
    <row r="1117" ht="12.75" hidden="1" x14ac:dyDescent="0.2"/>
    <row r="1118" ht="12.75" hidden="1" x14ac:dyDescent="0.2"/>
    <row r="1119" ht="12.75" hidden="1" x14ac:dyDescent="0.2"/>
    <row r="1120" ht="12.75" hidden="1" x14ac:dyDescent="0.2"/>
    <row r="1121" ht="12.75" hidden="1" x14ac:dyDescent="0.2"/>
    <row r="1122" ht="12.75" hidden="1" x14ac:dyDescent="0.2"/>
    <row r="1123" ht="12.75" hidden="1" x14ac:dyDescent="0.2"/>
    <row r="1124" ht="12.75" hidden="1" x14ac:dyDescent="0.2"/>
    <row r="1125" ht="12.75" hidden="1" x14ac:dyDescent="0.2"/>
    <row r="1126" ht="12.75" hidden="1" x14ac:dyDescent="0.2"/>
    <row r="1127" ht="12.75" hidden="1" x14ac:dyDescent="0.2"/>
    <row r="1128" ht="12.75" hidden="1" x14ac:dyDescent="0.2"/>
    <row r="1129" ht="12.75" hidden="1" x14ac:dyDescent="0.2"/>
    <row r="1130" ht="12.75" hidden="1" x14ac:dyDescent="0.2"/>
    <row r="1131" ht="12.75" hidden="1" x14ac:dyDescent="0.2"/>
    <row r="1132" ht="12.75" hidden="1" x14ac:dyDescent="0.2"/>
    <row r="1133" ht="12.75" hidden="1" x14ac:dyDescent="0.2"/>
    <row r="1134" ht="12.75" hidden="1" x14ac:dyDescent="0.2"/>
    <row r="1135" ht="12.75" hidden="1" x14ac:dyDescent="0.2"/>
    <row r="1136" ht="12.75" hidden="1" x14ac:dyDescent="0.2"/>
    <row r="1137" ht="12.75" hidden="1" x14ac:dyDescent="0.2"/>
    <row r="1138" ht="12.75" hidden="1" x14ac:dyDescent="0.2"/>
    <row r="1139" ht="12.75" hidden="1" x14ac:dyDescent="0.2"/>
    <row r="1140" ht="12.75" hidden="1" x14ac:dyDescent="0.2"/>
    <row r="1141" ht="12.75" hidden="1" x14ac:dyDescent="0.2"/>
    <row r="1142" ht="12.75" hidden="1" x14ac:dyDescent="0.2"/>
    <row r="1143" ht="12.75" hidden="1" x14ac:dyDescent="0.2"/>
    <row r="1144" ht="12.75" hidden="1" x14ac:dyDescent="0.2"/>
    <row r="1145" ht="12.75" hidden="1" x14ac:dyDescent="0.2"/>
    <row r="1146" ht="12.75" hidden="1" x14ac:dyDescent="0.2"/>
    <row r="1147" ht="12.75" hidden="1" x14ac:dyDescent="0.2"/>
    <row r="1148" ht="12.75" hidden="1" x14ac:dyDescent="0.2"/>
    <row r="1149" ht="12.75" hidden="1" x14ac:dyDescent="0.2"/>
    <row r="1150" ht="12.75" hidden="1" x14ac:dyDescent="0.2"/>
    <row r="1151" ht="12.75" hidden="1" x14ac:dyDescent="0.2"/>
    <row r="1152" ht="12.75" hidden="1" x14ac:dyDescent="0.2"/>
    <row r="1153" ht="12.75" hidden="1" x14ac:dyDescent="0.2"/>
    <row r="1154" ht="12.75" hidden="1" x14ac:dyDescent="0.2"/>
    <row r="1155" ht="12.75" hidden="1" x14ac:dyDescent="0.2"/>
    <row r="1156" ht="12.75" hidden="1" x14ac:dyDescent="0.2"/>
    <row r="1157" ht="12.75" hidden="1" x14ac:dyDescent="0.2"/>
    <row r="1158" ht="12.75" hidden="1" x14ac:dyDescent="0.2"/>
    <row r="1159" ht="12.75" hidden="1" x14ac:dyDescent="0.2"/>
    <row r="1160" ht="12.75" hidden="1" x14ac:dyDescent="0.2"/>
    <row r="1161" ht="12.75" hidden="1" x14ac:dyDescent="0.2"/>
    <row r="1162" ht="12.75" hidden="1" x14ac:dyDescent="0.2"/>
    <row r="1163" ht="12.75" hidden="1" x14ac:dyDescent="0.2"/>
    <row r="1164" ht="12.75" hidden="1" x14ac:dyDescent="0.2"/>
    <row r="1165" ht="12.75" hidden="1" x14ac:dyDescent="0.2"/>
    <row r="1166" ht="12.75" hidden="1" x14ac:dyDescent="0.2"/>
    <row r="1167" ht="12.75" hidden="1" x14ac:dyDescent="0.2"/>
    <row r="1168" ht="12.75" hidden="1" x14ac:dyDescent="0.2"/>
    <row r="1169" ht="12.75" hidden="1" x14ac:dyDescent="0.2"/>
    <row r="1170" ht="12.75" hidden="1" x14ac:dyDescent="0.2"/>
    <row r="1171" ht="12.75" hidden="1" x14ac:dyDescent="0.2"/>
    <row r="1172" ht="12.75" hidden="1" x14ac:dyDescent="0.2"/>
    <row r="1173" ht="12.75" hidden="1" x14ac:dyDescent="0.2"/>
    <row r="1174" ht="12.75" hidden="1" x14ac:dyDescent="0.2"/>
    <row r="1175" ht="12.75" hidden="1" x14ac:dyDescent="0.2"/>
    <row r="1176" ht="12.75" hidden="1" x14ac:dyDescent="0.2"/>
    <row r="1177" ht="12.75" hidden="1" x14ac:dyDescent="0.2"/>
    <row r="1178" ht="12.75" hidden="1" x14ac:dyDescent="0.2"/>
    <row r="1179" ht="12.75" hidden="1" x14ac:dyDescent="0.2"/>
    <row r="1180" ht="12.75" hidden="1" x14ac:dyDescent="0.2"/>
    <row r="1181" ht="12.75" hidden="1" x14ac:dyDescent="0.2"/>
    <row r="1182" ht="12.75" hidden="1" x14ac:dyDescent="0.2"/>
    <row r="1183" ht="12.75" hidden="1" x14ac:dyDescent="0.2"/>
    <row r="1184" ht="12.75" hidden="1" x14ac:dyDescent="0.2"/>
    <row r="1185" ht="12.75" hidden="1" x14ac:dyDescent="0.2"/>
    <row r="1186" ht="12.75" hidden="1" x14ac:dyDescent="0.2"/>
    <row r="1187" ht="12.75" hidden="1" x14ac:dyDescent="0.2"/>
    <row r="1188" ht="12.75" hidden="1" x14ac:dyDescent="0.2"/>
    <row r="1189" ht="12.75" hidden="1" x14ac:dyDescent="0.2"/>
    <row r="1190" ht="12.75" hidden="1" x14ac:dyDescent="0.2"/>
    <row r="1191" ht="12.75" hidden="1" x14ac:dyDescent="0.2"/>
    <row r="1192" ht="12.75" hidden="1" x14ac:dyDescent="0.2"/>
    <row r="1193" ht="12.75" hidden="1" x14ac:dyDescent="0.2"/>
    <row r="1194" ht="12.75" hidden="1" x14ac:dyDescent="0.2"/>
    <row r="1195" ht="12.75" hidden="1" x14ac:dyDescent="0.2"/>
    <row r="1196" ht="12.75" hidden="1" x14ac:dyDescent="0.2"/>
    <row r="1197" ht="12.75" hidden="1" x14ac:dyDescent="0.2"/>
    <row r="1198" ht="12.75" hidden="1" x14ac:dyDescent="0.2"/>
    <row r="1199" ht="12.75" hidden="1" x14ac:dyDescent="0.2"/>
    <row r="1200" ht="12.75" hidden="1" x14ac:dyDescent="0.2"/>
    <row r="1201" ht="12.75" hidden="1" x14ac:dyDescent="0.2"/>
    <row r="1202" ht="12.75" hidden="1" x14ac:dyDescent="0.2"/>
    <row r="1203" ht="12.75" hidden="1" x14ac:dyDescent="0.2"/>
    <row r="1204" ht="12.75" hidden="1" x14ac:dyDescent="0.2"/>
    <row r="1205" ht="12.75" hidden="1" x14ac:dyDescent="0.2"/>
    <row r="1206" ht="12.75" hidden="1" x14ac:dyDescent="0.2"/>
    <row r="1207" ht="12.75" hidden="1" x14ac:dyDescent="0.2"/>
    <row r="1208" ht="12.75" hidden="1" x14ac:dyDescent="0.2"/>
    <row r="1209" ht="12.75" hidden="1" x14ac:dyDescent="0.2"/>
    <row r="1210" ht="12.75" hidden="1" x14ac:dyDescent="0.2"/>
    <row r="1211" ht="12.75" hidden="1" x14ac:dyDescent="0.2"/>
    <row r="1212" ht="12.75" hidden="1" x14ac:dyDescent="0.2"/>
    <row r="1213" ht="12.75" hidden="1" x14ac:dyDescent="0.2"/>
    <row r="1214" ht="12.75" hidden="1" x14ac:dyDescent="0.2"/>
    <row r="1215" ht="12.75" hidden="1" x14ac:dyDescent="0.2"/>
    <row r="1216" ht="12.75" hidden="1" x14ac:dyDescent="0.2"/>
    <row r="1217" ht="12.75" hidden="1" x14ac:dyDescent="0.2"/>
    <row r="1218" ht="12.75" hidden="1" x14ac:dyDescent="0.2"/>
    <row r="1219" ht="12.75" hidden="1" x14ac:dyDescent="0.2"/>
    <row r="1220" ht="12.75" hidden="1" x14ac:dyDescent="0.2"/>
    <row r="1221" ht="12.75" hidden="1" x14ac:dyDescent="0.2"/>
    <row r="1222" ht="12.75" hidden="1" x14ac:dyDescent="0.2"/>
    <row r="1223" ht="12.75" hidden="1" x14ac:dyDescent="0.2"/>
    <row r="1224" ht="12.75" hidden="1" x14ac:dyDescent="0.2"/>
    <row r="1225" ht="12.75" hidden="1" x14ac:dyDescent="0.2"/>
    <row r="1226" ht="12.75" hidden="1" x14ac:dyDescent="0.2"/>
    <row r="1227" ht="12.75" hidden="1" x14ac:dyDescent="0.2"/>
    <row r="1228" ht="12.75" hidden="1" x14ac:dyDescent="0.2"/>
    <row r="1229" ht="12.75" hidden="1" x14ac:dyDescent="0.2"/>
    <row r="1230" ht="12.75" hidden="1" x14ac:dyDescent="0.2"/>
    <row r="1231" ht="12.75" hidden="1" x14ac:dyDescent="0.2"/>
    <row r="1232" ht="12.75" hidden="1" x14ac:dyDescent="0.2"/>
    <row r="1233" ht="12.75" hidden="1" x14ac:dyDescent="0.2"/>
    <row r="1234" ht="12.75" hidden="1" x14ac:dyDescent="0.2"/>
    <row r="1235" ht="12.75" hidden="1" x14ac:dyDescent="0.2"/>
    <row r="1236" ht="12.75" hidden="1" x14ac:dyDescent="0.2"/>
    <row r="1237" ht="12.75" hidden="1" x14ac:dyDescent="0.2"/>
    <row r="1238" ht="12.75" hidden="1" x14ac:dyDescent="0.2"/>
    <row r="1239" ht="12.75" hidden="1" x14ac:dyDescent="0.2"/>
    <row r="1240" ht="12.75" hidden="1" x14ac:dyDescent="0.2"/>
    <row r="1241" ht="12.75" hidden="1" x14ac:dyDescent="0.2"/>
    <row r="1242" ht="12.75" hidden="1" x14ac:dyDescent="0.2"/>
    <row r="1243" ht="12.75" hidden="1" x14ac:dyDescent="0.2"/>
    <row r="1244" ht="12.75" hidden="1" x14ac:dyDescent="0.2"/>
    <row r="1245" ht="12.75" hidden="1" x14ac:dyDescent="0.2"/>
    <row r="1246" ht="12.75" hidden="1" x14ac:dyDescent="0.2"/>
    <row r="1247" ht="12.75" hidden="1" x14ac:dyDescent="0.2"/>
    <row r="1248" ht="12.75" hidden="1" x14ac:dyDescent="0.2"/>
    <row r="1249" ht="12.75" hidden="1" x14ac:dyDescent="0.2"/>
    <row r="1250" ht="12.75" hidden="1" x14ac:dyDescent="0.2"/>
    <row r="1251" ht="12.75" hidden="1" x14ac:dyDescent="0.2"/>
    <row r="1252" ht="12.75" hidden="1" x14ac:dyDescent="0.2"/>
    <row r="1253" ht="12.75" hidden="1" x14ac:dyDescent="0.2"/>
    <row r="1254" ht="12.75" hidden="1" x14ac:dyDescent="0.2"/>
    <row r="1255" ht="12.75" hidden="1" x14ac:dyDescent="0.2"/>
    <row r="1256" ht="12.75" hidden="1" x14ac:dyDescent="0.2"/>
    <row r="1257" ht="12.75" hidden="1" x14ac:dyDescent="0.2"/>
    <row r="1258" ht="12.75" hidden="1" x14ac:dyDescent="0.2"/>
    <row r="1259" ht="12.75" hidden="1" x14ac:dyDescent="0.2"/>
    <row r="1260" ht="12.75" hidden="1" x14ac:dyDescent="0.2"/>
    <row r="1261" ht="12.75" hidden="1" x14ac:dyDescent="0.2"/>
    <row r="1262" ht="12.75" hidden="1" x14ac:dyDescent="0.2"/>
    <row r="1263" ht="12.75" hidden="1" x14ac:dyDescent="0.2"/>
    <row r="1264" ht="12.75" hidden="1" x14ac:dyDescent="0.2"/>
    <row r="1265" ht="12.75" hidden="1" x14ac:dyDescent="0.2"/>
    <row r="1266" ht="12.75" hidden="1" x14ac:dyDescent="0.2"/>
    <row r="1267" ht="12.75" hidden="1" x14ac:dyDescent="0.2"/>
    <row r="1268" ht="12.75" hidden="1" x14ac:dyDescent="0.2"/>
    <row r="1269" ht="12.75" hidden="1" x14ac:dyDescent="0.2"/>
    <row r="1270" ht="12.75" hidden="1" x14ac:dyDescent="0.2"/>
    <row r="1271" ht="12.75" hidden="1" x14ac:dyDescent="0.2"/>
    <row r="1272" ht="12.75" hidden="1" x14ac:dyDescent="0.2"/>
    <row r="1273" ht="12.75" hidden="1" x14ac:dyDescent="0.2"/>
    <row r="1274" ht="12.75" hidden="1" x14ac:dyDescent="0.2"/>
    <row r="1275" ht="12.75" hidden="1" x14ac:dyDescent="0.2"/>
    <row r="1276" ht="12.75" hidden="1" x14ac:dyDescent="0.2"/>
    <row r="1277" ht="12.75" hidden="1" x14ac:dyDescent="0.2"/>
    <row r="1278" ht="12.75" hidden="1" x14ac:dyDescent="0.2"/>
    <row r="1279" ht="12.75" hidden="1" x14ac:dyDescent="0.2"/>
    <row r="1280" ht="12.75" hidden="1" x14ac:dyDescent="0.2"/>
    <row r="1281" ht="12.75" hidden="1" x14ac:dyDescent="0.2"/>
    <row r="1282" ht="12.75" hidden="1" x14ac:dyDescent="0.2"/>
    <row r="1283" ht="12.75" hidden="1" x14ac:dyDescent="0.2"/>
    <row r="1284" ht="12.75" hidden="1" x14ac:dyDescent="0.2"/>
    <row r="1285" ht="12.75" hidden="1" x14ac:dyDescent="0.2"/>
    <row r="1286" ht="12.75" hidden="1" x14ac:dyDescent="0.2"/>
    <row r="1287" ht="12.75" hidden="1" x14ac:dyDescent="0.2"/>
    <row r="1288" ht="12.75" hidden="1" x14ac:dyDescent="0.2"/>
    <row r="1289" ht="12.75" hidden="1" x14ac:dyDescent="0.2"/>
    <row r="1290" ht="12.75" hidden="1" x14ac:dyDescent="0.2"/>
    <row r="1291" ht="12.75" hidden="1" x14ac:dyDescent="0.2"/>
    <row r="1292" ht="12.75" hidden="1" x14ac:dyDescent="0.2"/>
    <row r="1293" ht="12.75" hidden="1" x14ac:dyDescent="0.2"/>
    <row r="1294" ht="12.75" hidden="1" x14ac:dyDescent="0.2"/>
    <row r="1295" ht="12.75" hidden="1" x14ac:dyDescent="0.2"/>
    <row r="1296" ht="12.75" hidden="1" x14ac:dyDescent="0.2"/>
    <row r="1297" ht="12.75" hidden="1" x14ac:dyDescent="0.2"/>
    <row r="1298" ht="12.75" hidden="1" x14ac:dyDescent="0.2"/>
    <row r="1299" ht="12.75" hidden="1" x14ac:dyDescent="0.2"/>
    <row r="1300" ht="12.75" hidden="1" x14ac:dyDescent="0.2"/>
    <row r="1301" ht="12.75" hidden="1" x14ac:dyDescent="0.2"/>
    <row r="1302" ht="12.75" hidden="1" x14ac:dyDescent="0.2"/>
    <row r="1303" ht="12.75" hidden="1" x14ac:dyDescent="0.2"/>
    <row r="1304" ht="12.75" hidden="1" x14ac:dyDescent="0.2"/>
    <row r="1305" ht="12.75" hidden="1" x14ac:dyDescent="0.2"/>
    <row r="1306" ht="12.75" hidden="1" x14ac:dyDescent="0.2"/>
    <row r="1307" ht="12.75" hidden="1" x14ac:dyDescent="0.2"/>
    <row r="1308" ht="12.75" hidden="1" x14ac:dyDescent="0.2"/>
    <row r="1309" ht="12.75" hidden="1" x14ac:dyDescent="0.2"/>
    <row r="1310" ht="12.75" hidden="1" x14ac:dyDescent="0.2"/>
    <row r="1311" ht="12.75" hidden="1" x14ac:dyDescent="0.2"/>
    <row r="1312" ht="12.75" hidden="1" x14ac:dyDescent="0.2"/>
    <row r="1313" ht="12.75" hidden="1" x14ac:dyDescent="0.2"/>
    <row r="1314" ht="12.75" hidden="1" x14ac:dyDescent="0.2"/>
    <row r="1315" ht="12.75" hidden="1" x14ac:dyDescent="0.2"/>
    <row r="1316" ht="12.75" hidden="1" x14ac:dyDescent="0.2"/>
    <row r="1317" ht="12.75" hidden="1" x14ac:dyDescent="0.2"/>
    <row r="1318" ht="12.75" hidden="1" x14ac:dyDescent="0.2"/>
    <row r="1319" ht="12.75" hidden="1" x14ac:dyDescent="0.2"/>
    <row r="1320" ht="12.75" hidden="1" x14ac:dyDescent="0.2"/>
    <row r="1321" ht="12.75" hidden="1" x14ac:dyDescent="0.2"/>
    <row r="1322" ht="12.75" hidden="1" x14ac:dyDescent="0.2"/>
    <row r="1323" ht="12.75" hidden="1" x14ac:dyDescent="0.2"/>
    <row r="1324" ht="12.75" hidden="1" x14ac:dyDescent="0.2"/>
    <row r="1325" ht="12.75" hidden="1" x14ac:dyDescent="0.2"/>
    <row r="1326" ht="12.75" hidden="1" x14ac:dyDescent="0.2"/>
    <row r="1327" ht="12.75" hidden="1" x14ac:dyDescent="0.2"/>
    <row r="1328" ht="12.75" hidden="1" x14ac:dyDescent="0.2"/>
    <row r="1329" ht="12.75" hidden="1" x14ac:dyDescent="0.2"/>
    <row r="1330" ht="12.75" hidden="1" x14ac:dyDescent="0.2"/>
    <row r="1331" ht="12.75" hidden="1" x14ac:dyDescent="0.2"/>
    <row r="1332" ht="12.75" hidden="1" x14ac:dyDescent="0.2"/>
    <row r="1333" ht="12.75" hidden="1" x14ac:dyDescent="0.2"/>
    <row r="1334" ht="12.75" hidden="1" x14ac:dyDescent="0.2"/>
    <row r="1335" ht="12.75" hidden="1" x14ac:dyDescent="0.2"/>
    <row r="1336" ht="12.75" hidden="1" x14ac:dyDescent="0.2"/>
    <row r="1337" ht="12.75" hidden="1" x14ac:dyDescent="0.2"/>
    <row r="1338" ht="12.75" hidden="1" x14ac:dyDescent="0.2"/>
    <row r="1339" ht="12.75" hidden="1" x14ac:dyDescent="0.2"/>
    <row r="1340" ht="12.75" hidden="1" x14ac:dyDescent="0.2"/>
    <row r="1341" ht="12.75" hidden="1" x14ac:dyDescent="0.2"/>
    <row r="1342" ht="12.75" hidden="1" x14ac:dyDescent="0.2"/>
    <row r="1343" ht="12.75" hidden="1" x14ac:dyDescent="0.2"/>
    <row r="1344" ht="12.75" hidden="1" x14ac:dyDescent="0.2"/>
    <row r="1345" ht="12.75" hidden="1" x14ac:dyDescent="0.2"/>
    <row r="1346" ht="12.75" hidden="1" x14ac:dyDescent="0.2"/>
    <row r="1347" ht="12.75" hidden="1" x14ac:dyDescent="0.2"/>
    <row r="1348" ht="12.75" hidden="1" x14ac:dyDescent="0.2"/>
    <row r="1349" ht="12.75" hidden="1" x14ac:dyDescent="0.2"/>
    <row r="1350" ht="12.75" hidden="1" x14ac:dyDescent="0.2"/>
    <row r="1351" ht="12.75" hidden="1" x14ac:dyDescent="0.2"/>
    <row r="1352" ht="12.75" hidden="1" x14ac:dyDescent="0.2"/>
    <row r="1353" ht="12.75" hidden="1" x14ac:dyDescent="0.2"/>
    <row r="1354" ht="12.75" hidden="1" x14ac:dyDescent="0.2"/>
    <row r="1355" ht="12.75" hidden="1" x14ac:dyDescent="0.2"/>
    <row r="1356" ht="12.75" hidden="1" x14ac:dyDescent="0.2"/>
    <row r="1357" ht="12.75" hidden="1" x14ac:dyDescent="0.2"/>
    <row r="1358" ht="12.75" hidden="1" x14ac:dyDescent="0.2"/>
    <row r="1359" ht="12.75" hidden="1" x14ac:dyDescent="0.2"/>
    <row r="1360" ht="12.75" hidden="1" x14ac:dyDescent="0.2"/>
    <row r="1361" ht="12.75" hidden="1" x14ac:dyDescent="0.2"/>
    <row r="1362" ht="12.75" hidden="1" x14ac:dyDescent="0.2"/>
    <row r="1363" ht="12.75" hidden="1" x14ac:dyDescent="0.2"/>
    <row r="1364" ht="12.75" hidden="1" x14ac:dyDescent="0.2"/>
    <row r="1365" ht="12.75" hidden="1" x14ac:dyDescent="0.2"/>
    <row r="1366" ht="12.75" hidden="1" x14ac:dyDescent="0.2"/>
    <row r="1367" ht="12.75" hidden="1" x14ac:dyDescent="0.2"/>
    <row r="1368" ht="12.75" hidden="1" x14ac:dyDescent="0.2"/>
    <row r="1369" ht="12.75" hidden="1" x14ac:dyDescent="0.2"/>
    <row r="1370" ht="12.75" hidden="1" x14ac:dyDescent="0.2"/>
    <row r="1371" ht="12.75" hidden="1" x14ac:dyDescent="0.2"/>
    <row r="1372" ht="12.75" hidden="1" x14ac:dyDescent="0.2"/>
    <row r="1373" ht="12.75" hidden="1" x14ac:dyDescent="0.2"/>
    <row r="1374" ht="12.75" hidden="1" x14ac:dyDescent="0.2"/>
    <row r="1375" ht="12.75" hidden="1" x14ac:dyDescent="0.2"/>
    <row r="1376" ht="12.75" hidden="1" x14ac:dyDescent="0.2"/>
    <row r="1377" ht="12.75" hidden="1" x14ac:dyDescent="0.2"/>
    <row r="1378" ht="12.75" hidden="1" x14ac:dyDescent="0.2"/>
    <row r="1379" ht="12.75" hidden="1" x14ac:dyDescent="0.2"/>
    <row r="1380" ht="12.75" hidden="1" x14ac:dyDescent="0.2"/>
    <row r="1381" ht="12.75" hidden="1" x14ac:dyDescent="0.2"/>
    <row r="1382" ht="12.75" hidden="1" x14ac:dyDescent="0.2"/>
    <row r="1383" ht="12.75" hidden="1" x14ac:dyDescent="0.2"/>
    <row r="1384" ht="12.75" hidden="1" x14ac:dyDescent="0.2"/>
    <row r="1385" ht="12.75" hidden="1" x14ac:dyDescent="0.2"/>
    <row r="1386" ht="12.75" hidden="1" x14ac:dyDescent="0.2"/>
    <row r="1387" ht="12.75" hidden="1" x14ac:dyDescent="0.2"/>
    <row r="1388" ht="12.75" hidden="1" x14ac:dyDescent="0.2"/>
    <row r="1389" ht="12.75" hidden="1" x14ac:dyDescent="0.2"/>
    <row r="1390" ht="12.75" hidden="1" x14ac:dyDescent="0.2"/>
    <row r="1391" ht="12.75" hidden="1" x14ac:dyDescent="0.2"/>
    <row r="1392" ht="12.75" hidden="1" x14ac:dyDescent="0.2"/>
    <row r="1393" ht="12.75" hidden="1" x14ac:dyDescent="0.2"/>
    <row r="1394" ht="12.75" hidden="1" x14ac:dyDescent="0.2"/>
    <row r="1395" ht="12.75" hidden="1" x14ac:dyDescent="0.2"/>
    <row r="1396" ht="12.75" hidden="1" x14ac:dyDescent="0.2"/>
    <row r="1397" ht="12.75" hidden="1" x14ac:dyDescent="0.2"/>
    <row r="1398" ht="12.75" hidden="1" x14ac:dyDescent="0.2"/>
    <row r="1399" ht="12.75" hidden="1" x14ac:dyDescent="0.2"/>
    <row r="1400" ht="12.75" hidden="1" x14ac:dyDescent="0.2"/>
    <row r="1401" ht="12.75" hidden="1" x14ac:dyDescent="0.2"/>
    <row r="1402" ht="12.75" hidden="1" x14ac:dyDescent="0.2"/>
    <row r="1403" ht="12.75" hidden="1" x14ac:dyDescent="0.2"/>
    <row r="1404" ht="12.75" hidden="1" x14ac:dyDescent="0.2"/>
    <row r="1405" ht="12.75" hidden="1" x14ac:dyDescent="0.2"/>
    <row r="1406" ht="12.75" hidden="1" x14ac:dyDescent="0.2"/>
    <row r="1407" ht="12.75" hidden="1" x14ac:dyDescent="0.2"/>
    <row r="1408" ht="12.75" hidden="1" x14ac:dyDescent="0.2"/>
    <row r="1409" ht="12.75" hidden="1" x14ac:dyDescent="0.2"/>
    <row r="1410" ht="12.75" hidden="1" x14ac:dyDescent="0.2"/>
    <row r="1411" ht="12.75" hidden="1" x14ac:dyDescent="0.2"/>
    <row r="1412" ht="12.75" hidden="1" x14ac:dyDescent="0.2"/>
    <row r="1413" ht="12.75" hidden="1" x14ac:dyDescent="0.2"/>
    <row r="1414" ht="12.75" hidden="1" x14ac:dyDescent="0.2"/>
    <row r="1415" ht="12.75" hidden="1" x14ac:dyDescent="0.2"/>
    <row r="1416" ht="12.75" hidden="1" x14ac:dyDescent="0.2"/>
    <row r="1417" ht="12.75" hidden="1" x14ac:dyDescent="0.2"/>
    <row r="1418" ht="12.75" hidden="1" x14ac:dyDescent="0.2"/>
    <row r="1419" ht="12.75" hidden="1" x14ac:dyDescent="0.2"/>
    <row r="1420" ht="12.75" hidden="1" x14ac:dyDescent="0.2"/>
    <row r="1421" ht="12.75" hidden="1" x14ac:dyDescent="0.2"/>
    <row r="1422" ht="12.75" hidden="1" x14ac:dyDescent="0.2"/>
    <row r="1423" ht="12.75" hidden="1" x14ac:dyDescent="0.2"/>
    <row r="1424" ht="12.75" hidden="1" x14ac:dyDescent="0.2"/>
    <row r="1425" ht="12.75" hidden="1" x14ac:dyDescent="0.2"/>
    <row r="1426" ht="12.75" hidden="1" x14ac:dyDescent="0.2"/>
    <row r="1427" ht="12.75" hidden="1" x14ac:dyDescent="0.2"/>
    <row r="1428" ht="12.75" hidden="1" x14ac:dyDescent="0.2"/>
    <row r="1429" ht="12.75" hidden="1" x14ac:dyDescent="0.2"/>
    <row r="1430" ht="12.75" hidden="1" x14ac:dyDescent="0.2"/>
    <row r="1431" ht="12.75" hidden="1" x14ac:dyDescent="0.2"/>
    <row r="1432" ht="12.75" hidden="1" x14ac:dyDescent="0.2"/>
    <row r="1433" ht="12.75" hidden="1" x14ac:dyDescent="0.2"/>
    <row r="1434" ht="12.75" hidden="1" x14ac:dyDescent="0.2"/>
    <row r="1435" ht="12.75" hidden="1" x14ac:dyDescent="0.2"/>
    <row r="1436" ht="12.75" hidden="1" x14ac:dyDescent="0.2"/>
    <row r="1437" ht="12.75" hidden="1" x14ac:dyDescent="0.2"/>
    <row r="1438" ht="12.75" hidden="1" x14ac:dyDescent="0.2"/>
    <row r="1439" ht="12.75" hidden="1" x14ac:dyDescent="0.2"/>
    <row r="1440" ht="12.75" hidden="1" x14ac:dyDescent="0.2"/>
    <row r="1441" ht="12.75" hidden="1" x14ac:dyDescent="0.2"/>
    <row r="1442" ht="12.75" hidden="1" x14ac:dyDescent="0.2"/>
    <row r="1443" ht="12.75" hidden="1" x14ac:dyDescent="0.2"/>
    <row r="1444" ht="12.75" hidden="1" x14ac:dyDescent="0.2"/>
    <row r="1445" ht="12.75" hidden="1" x14ac:dyDescent="0.2"/>
    <row r="1446" ht="12.75" hidden="1" x14ac:dyDescent="0.2"/>
    <row r="1447" ht="12.75" hidden="1" x14ac:dyDescent="0.2"/>
    <row r="1448" ht="12.75" hidden="1" x14ac:dyDescent="0.2"/>
    <row r="1449" ht="12.75" hidden="1" x14ac:dyDescent="0.2"/>
    <row r="1450" ht="12.75" hidden="1" x14ac:dyDescent="0.2"/>
    <row r="1451" ht="12.75" hidden="1" x14ac:dyDescent="0.2"/>
    <row r="1452" ht="12.75" hidden="1" x14ac:dyDescent="0.2"/>
    <row r="1453" ht="12.75" hidden="1" x14ac:dyDescent="0.2"/>
    <row r="1454" ht="12.75" hidden="1" x14ac:dyDescent="0.2"/>
    <row r="1455" ht="12.75" hidden="1" x14ac:dyDescent="0.2"/>
    <row r="1456" ht="12.75" hidden="1" x14ac:dyDescent="0.2"/>
    <row r="1457" ht="12.75" hidden="1" x14ac:dyDescent="0.2"/>
    <row r="1458" ht="12.75" hidden="1" x14ac:dyDescent="0.2"/>
    <row r="1459" ht="12.75" hidden="1" x14ac:dyDescent="0.2"/>
    <row r="1460" ht="12.75" hidden="1" x14ac:dyDescent="0.2"/>
    <row r="1461" ht="12.75" hidden="1" x14ac:dyDescent="0.2"/>
    <row r="1462" ht="12.75" hidden="1" x14ac:dyDescent="0.2"/>
    <row r="1463" ht="12.75" hidden="1" x14ac:dyDescent="0.2"/>
    <row r="1464" ht="12.75" hidden="1" x14ac:dyDescent="0.2"/>
    <row r="1465" ht="12.75" hidden="1" x14ac:dyDescent="0.2"/>
    <row r="1466" ht="12.75" hidden="1" x14ac:dyDescent="0.2"/>
    <row r="1467" ht="12.75" hidden="1" x14ac:dyDescent="0.2"/>
    <row r="1468" ht="12.75" hidden="1" x14ac:dyDescent="0.2"/>
    <row r="1469" ht="12.75" hidden="1" x14ac:dyDescent="0.2"/>
    <row r="1470" ht="12.75" hidden="1" x14ac:dyDescent="0.2"/>
    <row r="1471" ht="12.75" hidden="1" x14ac:dyDescent="0.2"/>
    <row r="1472" ht="12.75" hidden="1" x14ac:dyDescent="0.2"/>
    <row r="1473" ht="12.75" hidden="1" x14ac:dyDescent="0.2"/>
    <row r="1474" ht="12.75" hidden="1" x14ac:dyDescent="0.2"/>
    <row r="1475" ht="12.75" hidden="1" x14ac:dyDescent="0.2"/>
    <row r="1476" ht="12.75" hidden="1" x14ac:dyDescent="0.2"/>
    <row r="1477" ht="12.75" hidden="1" x14ac:dyDescent="0.2"/>
    <row r="1478" ht="12.75" hidden="1" x14ac:dyDescent="0.2"/>
    <row r="1479" ht="12.75" hidden="1" x14ac:dyDescent="0.2"/>
    <row r="1480" ht="12.75" hidden="1" x14ac:dyDescent="0.2"/>
    <row r="1481" ht="12.75" hidden="1" x14ac:dyDescent="0.2"/>
    <row r="1482" ht="12.75" hidden="1" x14ac:dyDescent="0.2"/>
    <row r="1483" ht="12.75" hidden="1" x14ac:dyDescent="0.2"/>
    <row r="1484" ht="12.75" hidden="1" x14ac:dyDescent="0.2"/>
    <row r="1485" ht="12.75" hidden="1" x14ac:dyDescent="0.2"/>
    <row r="1486" ht="12.75" hidden="1" x14ac:dyDescent="0.2"/>
    <row r="1487" ht="12.75" hidden="1" x14ac:dyDescent="0.2"/>
    <row r="1488" ht="12.75" hidden="1" x14ac:dyDescent="0.2"/>
    <row r="1489" ht="12.75" hidden="1" x14ac:dyDescent="0.2"/>
    <row r="1490" ht="12.75" hidden="1" x14ac:dyDescent="0.2"/>
    <row r="1491" ht="12.75" hidden="1" x14ac:dyDescent="0.2"/>
    <row r="1492" ht="12.75" hidden="1" x14ac:dyDescent="0.2"/>
    <row r="1493" ht="12.75" hidden="1" x14ac:dyDescent="0.2"/>
    <row r="1494" ht="12.75" hidden="1" x14ac:dyDescent="0.2"/>
    <row r="1495" ht="12.75" hidden="1" x14ac:dyDescent="0.2"/>
    <row r="1496" ht="12.75" hidden="1" x14ac:dyDescent="0.2"/>
    <row r="1497" ht="12.75" hidden="1" x14ac:dyDescent="0.2"/>
    <row r="1498" ht="12.75" hidden="1" x14ac:dyDescent="0.2"/>
    <row r="1499" ht="12.75" hidden="1" x14ac:dyDescent="0.2"/>
    <row r="1500" ht="12.75" hidden="1" x14ac:dyDescent="0.2"/>
    <row r="1501" ht="12.75" hidden="1" x14ac:dyDescent="0.2"/>
    <row r="1502" ht="12.75" hidden="1" x14ac:dyDescent="0.2"/>
    <row r="1503" ht="12.75" hidden="1" x14ac:dyDescent="0.2"/>
    <row r="1504" ht="12.75" hidden="1" x14ac:dyDescent="0.2"/>
    <row r="1505" ht="12.75" hidden="1" x14ac:dyDescent="0.2"/>
    <row r="1506" ht="12.75" hidden="1" x14ac:dyDescent="0.2"/>
    <row r="1507" ht="12.75" hidden="1" x14ac:dyDescent="0.2"/>
    <row r="1508" ht="12.75" hidden="1" x14ac:dyDescent="0.2"/>
    <row r="1509" ht="12.75" hidden="1" x14ac:dyDescent="0.2"/>
    <row r="1510" ht="12.75" hidden="1" x14ac:dyDescent="0.2"/>
    <row r="1511" ht="12.75" hidden="1" x14ac:dyDescent="0.2"/>
    <row r="1512" ht="12.75" hidden="1" x14ac:dyDescent="0.2"/>
    <row r="1513" ht="12.75" hidden="1" x14ac:dyDescent="0.2"/>
    <row r="1514" ht="12.75" hidden="1" x14ac:dyDescent="0.2"/>
    <row r="1515" ht="12.75" hidden="1" x14ac:dyDescent="0.2"/>
    <row r="1516" ht="12.75" hidden="1" x14ac:dyDescent="0.2"/>
    <row r="1517" ht="12.75" hidden="1" x14ac:dyDescent="0.2"/>
    <row r="1518" ht="12.75" hidden="1" x14ac:dyDescent="0.2"/>
    <row r="1519" ht="12.75" hidden="1" x14ac:dyDescent="0.2"/>
    <row r="1520" ht="12.75" hidden="1" x14ac:dyDescent="0.2"/>
    <row r="1521" ht="12.75" hidden="1" x14ac:dyDescent="0.2"/>
    <row r="1522" ht="12.75" hidden="1" x14ac:dyDescent="0.2"/>
    <row r="1523" ht="12.75" hidden="1" x14ac:dyDescent="0.2"/>
    <row r="1524" ht="12.75" hidden="1" x14ac:dyDescent="0.2"/>
    <row r="1525" ht="12.75" hidden="1" x14ac:dyDescent="0.2"/>
    <row r="1526" ht="12.75" hidden="1" x14ac:dyDescent="0.2"/>
    <row r="1527" ht="12.75" hidden="1" x14ac:dyDescent="0.2"/>
    <row r="1528" ht="12.75" hidden="1" x14ac:dyDescent="0.2"/>
    <row r="1529" ht="12.75" hidden="1" x14ac:dyDescent="0.2"/>
    <row r="1530" ht="12.75" hidden="1" x14ac:dyDescent="0.2"/>
    <row r="1531" ht="12.75" hidden="1" x14ac:dyDescent="0.2"/>
    <row r="1532" ht="12.75" hidden="1" x14ac:dyDescent="0.2"/>
    <row r="1533" ht="12.75" hidden="1" x14ac:dyDescent="0.2"/>
    <row r="1534" ht="12.75" hidden="1" x14ac:dyDescent="0.2"/>
    <row r="1535" ht="12.75" hidden="1" x14ac:dyDescent="0.2"/>
    <row r="1536" ht="12.75" hidden="1" x14ac:dyDescent="0.2"/>
    <row r="1537" ht="12.75" hidden="1" x14ac:dyDescent="0.2"/>
    <row r="1538" ht="12.75" hidden="1" x14ac:dyDescent="0.2"/>
    <row r="1539" ht="12.75" hidden="1" x14ac:dyDescent="0.2"/>
    <row r="1540" ht="12.75" hidden="1" x14ac:dyDescent="0.2"/>
    <row r="1541" ht="12.75" hidden="1" x14ac:dyDescent="0.2"/>
    <row r="1542" ht="12.75" hidden="1" x14ac:dyDescent="0.2"/>
    <row r="1543" ht="12.75" hidden="1" x14ac:dyDescent="0.2"/>
    <row r="1544" ht="12.75" hidden="1" x14ac:dyDescent="0.2"/>
    <row r="1545" ht="12.75" hidden="1" x14ac:dyDescent="0.2"/>
    <row r="1546" ht="12.75" hidden="1" x14ac:dyDescent="0.2"/>
    <row r="1547" ht="12.75" hidden="1" x14ac:dyDescent="0.2"/>
    <row r="1548" ht="12.75" hidden="1" x14ac:dyDescent="0.2"/>
    <row r="1549" ht="12.75" hidden="1" x14ac:dyDescent="0.2"/>
    <row r="1550" ht="12.75" hidden="1" x14ac:dyDescent="0.2"/>
    <row r="1551" ht="12.75" hidden="1" x14ac:dyDescent="0.2"/>
    <row r="1552" ht="12.75" hidden="1" x14ac:dyDescent="0.2"/>
    <row r="1553" ht="12.75" hidden="1" x14ac:dyDescent="0.2"/>
    <row r="1554" ht="12.75" hidden="1" x14ac:dyDescent="0.2"/>
    <row r="1555" ht="12.75" hidden="1" x14ac:dyDescent="0.2"/>
    <row r="1556" ht="12.75" hidden="1" x14ac:dyDescent="0.2"/>
    <row r="1557" ht="12.75" hidden="1" x14ac:dyDescent="0.2"/>
    <row r="1558" ht="12.75" hidden="1" x14ac:dyDescent="0.2"/>
    <row r="1559" ht="12.75" hidden="1" x14ac:dyDescent="0.2"/>
    <row r="1560" ht="12.75" hidden="1" x14ac:dyDescent="0.2"/>
    <row r="1561" ht="12.75" hidden="1" x14ac:dyDescent="0.2"/>
    <row r="1562" ht="12.75" hidden="1" x14ac:dyDescent="0.2"/>
    <row r="1563" ht="12.75" hidden="1" x14ac:dyDescent="0.2"/>
    <row r="1564" ht="12.75" hidden="1" x14ac:dyDescent="0.2"/>
    <row r="1565" ht="12.75" hidden="1" x14ac:dyDescent="0.2"/>
    <row r="1566" ht="12.75" hidden="1" x14ac:dyDescent="0.2"/>
    <row r="1567" ht="12.75" hidden="1" x14ac:dyDescent="0.2"/>
    <row r="1568" ht="12.75" hidden="1" x14ac:dyDescent="0.2"/>
    <row r="1569" ht="12.75" hidden="1" x14ac:dyDescent="0.2"/>
    <row r="1570" ht="12.75" hidden="1" x14ac:dyDescent="0.2"/>
    <row r="1571" ht="12.75" hidden="1" x14ac:dyDescent="0.2"/>
    <row r="1572" ht="12.75" hidden="1" x14ac:dyDescent="0.2"/>
    <row r="1573" ht="12.75" hidden="1" x14ac:dyDescent="0.2"/>
    <row r="1574" ht="12.75" hidden="1" x14ac:dyDescent="0.2"/>
    <row r="1575" ht="12.75" hidden="1" x14ac:dyDescent="0.2"/>
    <row r="1576" ht="12.75" hidden="1" x14ac:dyDescent="0.2"/>
    <row r="1577" ht="12.75" hidden="1" x14ac:dyDescent="0.2"/>
    <row r="1578" ht="12.75" hidden="1" x14ac:dyDescent="0.2"/>
    <row r="1579" ht="12.75" hidden="1" x14ac:dyDescent="0.2"/>
    <row r="1580" ht="12.75" hidden="1" x14ac:dyDescent="0.2"/>
    <row r="1581" ht="12.75" hidden="1" x14ac:dyDescent="0.2"/>
    <row r="1582" ht="12.75" hidden="1" x14ac:dyDescent="0.2"/>
    <row r="1583" ht="12.75" hidden="1" x14ac:dyDescent="0.2"/>
    <row r="1584" ht="12.75" hidden="1" x14ac:dyDescent="0.2"/>
    <row r="1585" ht="12.75" hidden="1" x14ac:dyDescent="0.2"/>
    <row r="1586" ht="12.75" hidden="1" x14ac:dyDescent="0.2"/>
    <row r="1587" ht="12.75" hidden="1" x14ac:dyDescent="0.2"/>
    <row r="1588" ht="12.75" hidden="1" x14ac:dyDescent="0.2"/>
    <row r="1589" ht="12.75" hidden="1" x14ac:dyDescent="0.2"/>
    <row r="1590" ht="12.75" hidden="1" x14ac:dyDescent="0.2"/>
    <row r="1591" ht="12.75" hidden="1" x14ac:dyDescent="0.2"/>
    <row r="1592" ht="12.75" hidden="1" x14ac:dyDescent="0.2"/>
    <row r="1593" ht="12.75" hidden="1" x14ac:dyDescent="0.2"/>
    <row r="1594" ht="12.75" hidden="1" x14ac:dyDescent="0.2"/>
    <row r="1595" ht="12.75" hidden="1" x14ac:dyDescent="0.2"/>
    <row r="1596" ht="12.75" hidden="1" x14ac:dyDescent="0.2"/>
    <row r="1597" ht="12.75" hidden="1" x14ac:dyDescent="0.2"/>
    <row r="1598" ht="12.75" hidden="1" x14ac:dyDescent="0.2"/>
    <row r="1599" ht="12.75" hidden="1" x14ac:dyDescent="0.2"/>
    <row r="1600" ht="12.75" hidden="1" x14ac:dyDescent="0.2"/>
    <row r="1601" ht="12.75" hidden="1" x14ac:dyDescent="0.2"/>
    <row r="1602" ht="12.75" hidden="1" x14ac:dyDescent="0.2"/>
    <row r="1603" ht="12.75" hidden="1" x14ac:dyDescent="0.2"/>
    <row r="1604" ht="12.75" hidden="1" x14ac:dyDescent="0.2"/>
    <row r="1605" ht="12.75" hidden="1" x14ac:dyDescent="0.2"/>
    <row r="1606" ht="12.75" hidden="1" x14ac:dyDescent="0.2"/>
    <row r="1607" ht="12.75" hidden="1" x14ac:dyDescent="0.2"/>
    <row r="1608" ht="12.75" hidden="1" x14ac:dyDescent="0.2"/>
    <row r="1609" ht="12.75" hidden="1" x14ac:dyDescent="0.2"/>
    <row r="1610" ht="12.75" hidden="1" x14ac:dyDescent="0.2"/>
    <row r="1611" ht="12.75" hidden="1" x14ac:dyDescent="0.2"/>
    <row r="1612" ht="12.75" hidden="1" x14ac:dyDescent="0.2"/>
    <row r="1613" ht="12.75" hidden="1" x14ac:dyDescent="0.2"/>
    <row r="1614" ht="12.75" hidden="1" x14ac:dyDescent="0.2"/>
    <row r="1615" ht="12.75" hidden="1" x14ac:dyDescent="0.2"/>
    <row r="1616" ht="12.75" hidden="1" x14ac:dyDescent="0.2"/>
    <row r="1617" ht="12.75" hidden="1" x14ac:dyDescent="0.2"/>
    <row r="1618" ht="12.75" hidden="1" x14ac:dyDescent="0.2"/>
    <row r="1619" ht="12.75" hidden="1" x14ac:dyDescent="0.2"/>
    <row r="1620" ht="12.75" hidden="1" x14ac:dyDescent="0.2"/>
    <row r="1621" ht="12.75" hidden="1" x14ac:dyDescent="0.2"/>
    <row r="1622" ht="12.75" hidden="1" x14ac:dyDescent="0.2"/>
    <row r="1623" ht="12.75" hidden="1" x14ac:dyDescent="0.2"/>
    <row r="1624" ht="12.75" hidden="1" x14ac:dyDescent="0.2"/>
    <row r="1625" ht="12.75" hidden="1" x14ac:dyDescent="0.2"/>
    <row r="1626" ht="12.75" hidden="1" x14ac:dyDescent="0.2"/>
    <row r="1627" ht="12.75" hidden="1" x14ac:dyDescent="0.2"/>
    <row r="1628" ht="12.75" hidden="1" x14ac:dyDescent="0.2"/>
    <row r="1629" ht="12.75" hidden="1" x14ac:dyDescent="0.2"/>
    <row r="1630" ht="12.75" hidden="1" x14ac:dyDescent="0.2"/>
    <row r="1631" ht="12.75" hidden="1" x14ac:dyDescent="0.2"/>
    <row r="1632" ht="12.75" hidden="1" x14ac:dyDescent="0.2"/>
    <row r="1633" ht="12.75" hidden="1" x14ac:dyDescent="0.2"/>
    <row r="1634" ht="12.75" hidden="1" x14ac:dyDescent="0.2"/>
    <row r="1635" ht="12.75" hidden="1" x14ac:dyDescent="0.2"/>
    <row r="1636" ht="12.75" hidden="1" x14ac:dyDescent="0.2"/>
    <row r="1637" ht="12.75" hidden="1" x14ac:dyDescent="0.2"/>
    <row r="1638" ht="12.75" hidden="1" x14ac:dyDescent="0.2"/>
    <row r="1639" ht="12.75" hidden="1" x14ac:dyDescent="0.2"/>
    <row r="1640" ht="12.75" hidden="1" x14ac:dyDescent="0.2"/>
    <row r="1641" ht="12.75" hidden="1" x14ac:dyDescent="0.2"/>
    <row r="1642" ht="12.75" hidden="1" x14ac:dyDescent="0.2"/>
    <row r="1643" ht="12.75" hidden="1" x14ac:dyDescent="0.2"/>
    <row r="1644" ht="12.75" hidden="1" x14ac:dyDescent="0.2"/>
    <row r="1645" ht="12.75" hidden="1" x14ac:dyDescent="0.2"/>
    <row r="1646" ht="12.75" hidden="1" x14ac:dyDescent="0.2"/>
    <row r="1647" ht="12.75" hidden="1" x14ac:dyDescent="0.2"/>
    <row r="1648" ht="12.75" hidden="1" x14ac:dyDescent="0.2"/>
    <row r="1649" ht="12.75" hidden="1" x14ac:dyDescent="0.2"/>
    <row r="1650" ht="12.75" hidden="1" x14ac:dyDescent="0.2"/>
    <row r="1651" ht="12.75" hidden="1" x14ac:dyDescent="0.2"/>
    <row r="1652" ht="12.75" hidden="1" x14ac:dyDescent="0.2"/>
    <row r="1653" ht="12.75" hidden="1" x14ac:dyDescent="0.2"/>
    <row r="1654" ht="12.75" hidden="1" x14ac:dyDescent="0.2"/>
    <row r="1655" ht="12.75" hidden="1" x14ac:dyDescent="0.2"/>
    <row r="1656" ht="12.75" hidden="1" x14ac:dyDescent="0.2"/>
    <row r="1657" ht="12.75" hidden="1" x14ac:dyDescent="0.2"/>
    <row r="1658" ht="12.75" hidden="1" x14ac:dyDescent="0.2"/>
    <row r="1659" ht="12.75" hidden="1" x14ac:dyDescent="0.2"/>
    <row r="1660" ht="12.75" hidden="1" x14ac:dyDescent="0.2"/>
    <row r="1661" ht="12.75" hidden="1" x14ac:dyDescent="0.2"/>
    <row r="1662" ht="12.75" hidden="1" x14ac:dyDescent="0.2"/>
    <row r="1663" ht="12.75" hidden="1" x14ac:dyDescent="0.2"/>
    <row r="1664" ht="12.75" hidden="1" x14ac:dyDescent="0.2"/>
    <row r="1665" ht="12.75" hidden="1" x14ac:dyDescent="0.2"/>
    <row r="1666" ht="12.75" hidden="1" x14ac:dyDescent="0.2"/>
    <row r="1667" ht="12.75" hidden="1" x14ac:dyDescent="0.2"/>
    <row r="1668" ht="12.75" hidden="1" x14ac:dyDescent="0.2"/>
    <row r="1669" ht="12.75" hidden="1" x14ac:dyDescent="0.2"/>
    <row r="1670" ht="12.75" hidden="1" x14ac:dyDescent="0.2"/>
    <row r="1671" ht="12.75" hidden="1" x14ac:dyDescent="0.2"/>
    <row r="1672" ht="12.75" hidden="1" x14ac:dyDescent="0.2"/>
    <row r="1673" ht="12.75" hidden="1" x14ac:dyDescent="0.2"/>
    <row r="1674" ht="12.75" hidden="1" x14ac:dyDescent="0.2"/>
    <row r="1675" ht="12.75" hidden="1" x14ac:dyDescent="0.2"/>
    <row r="1676" ht="12.75" hidden="1" x14ac:dyDescent="0.2"/>
    <row r="1677" ht="12.75" hidden="1" x14ac:dyDescent="0.2"/>
    <row r="1678" ht="12.75" hidden="1" x14ac:dyDescent="0.2"/>
    <row r="1679" ht="12.75" hidden="1" x14ac:dyDescent="0.2"/>
    <row r="1680" ht="12.75" hidden="1" x14ac:dyDescent="0.2"/>
    <row r="1681" ht="12.75" hidden="1" x14ac:dyDescent="0.2"/>
    <row r="1682" ht="12.75" hidden="1" x14ac:dyDescent="0.2"/>
    <row r="1683" ht="12.75" hidden="1" x14ac:dyDescent="0.2"/>
    <row r="1684" ht="12.75" hidden="1" x14ac:dyDescent="0.2"/>
    <row r="1685" ht="12.75" hidden="1" x14ac:dyDescent="0.2"/>
    <row r="1686" ht="12.75" hidden="1" x14ac:dyDescent="0.2"/>
    <row r="1687" ht="12.75" hidden="1" x14ac:dyDescent="0.2"/>
    <row r="1688" ht="12.75" hidden="1" x14ac:dyDescent="0.2"/>
    <row r="1689" ht="12.75" hidden="1" x14ac:dyDescent="0.2"/>
    <row r="1690" ht="12.75" hidden="1" x14ac:dyDescent="0.2"/>
    <row r="1691" ht="12.75" hidden="1" x14ac:dyDescent="0.2"/>
    <row r="1692" ht="12.75" hidden="1" x14ac:dyDescent="0.2"/>
    <row r="1693" ht="12.75" hidden="1" x14ac:dyDescent="0.2"/>
    <row r="1694" ht="12.75" hidden="1" x14ac:dyDescent="0.2"/>
    <row r="1695" ht="12.75" hidden="1" x14ac:dyDescent="0.2"/>
    <row r="1696" ht="12.75" hidden="1" x14ac:dyDescent="0.2"/>
    <row r="1697" ht="12.75" hidden="1" x14ac:dyDescent="0.2"/>
    <row r="1698" ht="12.75" hidden="1" x14ac:dyDescent="0.2"/>
    <row r="1699" ht="12.75" hidden="1" x14ac:dyDescent="0.2"/>
    <row r="1700" ht="12.75" hidden="1" x14ac:dyDescent="0.2"/>
    <row r="1701" ht="12.75" hidden="1" x14ac:dyDescent="0.2"/>
    <row r="1702" ht="12.75" hidden="1" x14ac:dyDescent="0.2"/>
    <row r="1703" ht="12.75" hidden="1" x14ac:dyDescent="0.2"/>
    <row r="1704" ht="12.75" hidden="1" x14ac:dyDescent="0.2"/>
    <row r="1705" ht="12.75" hidden="1" x14ac:dyDescent="0.2"/>
    <row r="1706" ht="12.75" hidden="1" x14ac:dyDescent="0.2"/>
    <row r="1707" ht="12.75" hidden="1" x14ac:dyDescent="0.2"/>
    <row r="1708" ht="12.75" hidden="1" x14ac:dyDescent="0.2"/>
    <row r="1709" ht="12.75" hidden="1" x14ac:dyDescent="0.2"/>
    <row r="1710" ht="12.75" hidden="1" x14ac:dyDescent="0.2"/>
    <row r="1711" ht="12.75" hidden="1" x14ac:dyDescent="0.2"/>
    <row r="1712" ht="12.75" hidden="1" x14ac:dyDescent="0.2"/>
    <row r="1713" ht="12.75" hidden="1" x14ac:dyDescent="0.2"/>
    <row r="1714" ht="12.75" hidden="1" x14ac:dyDescent="0.2"/>
    <row r="1715" ht="12.75" hidden="1" x14ac:dyDescent="0.2"/>
    <row r="1716" ht="12.75" hidden="1" x14ac:dyDescent="0.2"/>
    <row r="1717" ht="12.75" hidden="1" x14ac:dyDescent="0.2"/>
    <row r="1718" ht="12.75" hidden="1" x14ac:dyDescent="0.2"/>
    <row r="1719" ht="12.75" hidden="1" x14ac:dyDescent="0.2"/>
    <row r="1720" ht="12.75" hidden="1" x14ac:dyDescent="0.2"/>
    <row r="1721" ht="12.75" hidden="1" x14ac:dyDescent="0.2"/>
    <row r="1722" ht="12.75" hidden="1" x14ac:dyDescent="0.2"/>
    <row r="1723" ht="12.75" hidden="1" x14ac:dyDescent="0.2"/>
    <row r="1724" ht="12.75" hidden="1" x14ac:dyDescent="0.2"/>
    <row r="1725" ht="12.75" hidden="1" x14ac:dyDescent="0.2"/>
    <row r="1726" ht="12.75" hidden="1" x14ac:dyDescent="0.2"/>
    <row r="1727" ht="12.75" hidden="1" x14ac:dyDescent="0.2"/>
    <row r="1728" ht="12.75" hidden="1" x14ac:dyDescent="0.2"/>
    <row r="1729" ht="12.75" hidden="1" x14ac:dyDescent="0.2"/>
    <row r="1730" ht="12.75" hidden="1" x14ac:dyDescent="0.2"/>
    <row r="1731" ht="12.75" hidden="1" x14ac:dyDescent="0.2"/>
    <row r="1732" ht="12.75" hidden="1" x14ac:dyDescent="0.2"/>
    <row r="1733" ht="12.75" hidden="1" x14ac:dyDescent="0.2"/>
    <row r="1734" ht="12.75" hidden="1" x14ac:dyDescent="0.2"/>
    <row r="1735" ht="12.75" hidden="1" x14ac:dyDescent="0.2"/>
    <row r="1736" ht="12.75" hidden="1" x14ac:dyDescent="0.2"/>
    <row r="1737" ht="12.75" hidden="1" x14ac:dyDescent="0.2"/>
    <row r="1738" ht="12.75" hidden="1" x14ac:dyDescent="0.2"/>
    <row r="1739" ht="12.75" hidden="1" x14ac:dyDescent="0.2"/>
    <row r="1740" ht="12.75" hidden="1" x14ac:dyDescent="0.2"/>
    <row r="1741" ht="12.75" hidden="1" x14ac:dyDescent="0.2"/>
    <row r="1742" ht="12.75" hidden="1" x14ac:dyDescent="0.2"/>
    <row r="1743" ht="12.75" hidden="1" x14ac:dyDescent="0.2"/>
    <row r="1744" ht="12.75" hidden="1" x14ac:dyDescent="0.2"/>
    <row r="1745" ht="12.75" hidden="1" x14ac:dyDescent="0.2"/>
    <row r="1746" ht="12.75" hidden="1" x14ac:dyDescent="0.2"/>
    <row r="1747" ht="12.75" hidden="1" x14ac:dyDescent="0.2"/>
    <row r="1748" ht="12.75" hidden="1" x14ac:dyDescent="0.2"/>
    <row r="1749" ht="12.75" hidden="1" x14ac:dyDescent="0.2"/>
    <row r="1750" ht="12.75" hidden="1" x14ac:dyDescent="0.2"/>
    <row r="1751" ht="12.75" hidden="1" x14ac:dyDescent="0.2"/>
    <row r="1752" ht="12.75" hidden="1" x14ac:dyDescent="0.2"/>
    <row r="1753" ht="12.75" hidden="1" x14ac:dyDescent="0.2"/>
    <row r="1754" ht="12.75" hidden="1" x14ac:dyDescent="0.2"/>
    <row r="1755" ht="12.75" hidden="1" x14ac:dyDescent="0.2"/>
    <row r="1756" ht="12.75" hidden="1" x14ac:dyDescent="0.2"/>
    <row r="1757" ht="12.75" hidden="1" x14ac:dyDescent="0.2"/>
    <row r="1758" ht="12.75" hidden="1" x14ac:dyDescent="0.2"/>
    <row r="1759" ht="12.75" hidden="1" x14ac:dyDescent="0.2"/>
    <row r="1760" ht="12.75" hidden="1" x14ac:dyDescent="0.2"/>
    <row r="1761" ht="12.75" hidden="1" x14ac:dyDescent="0.2"/>
    <row r="1762" ht="12.75" hidden="1" x14ac:dyDescent="0.2"/>
    <row r="1763" ht="12.75" hidden="1" x14ac:dyDescent="0.2"/>
    <row r="1764" ht="12.75" hidden="1" x14ac:dyDescent="0.2"/>
    <row r="1765" ht="12.75" hidden="1" x14ac:dyDescent="0.2"/>
    <row r="1766" ht="12.75" hidden="1" x14ac:dyDescent="0.2"/>
    <row r="1767" ht="12.75" hidden="1" x14ac:dyDescent="0.2"/>
    <row r="1768" ht="12.75" hidden="1" x14ac:dyDescent="0.2"/>
    <row r="1769" ht="12.75" hidden="1" x14ac:dyDescent="0.2"/>
    <row r="1770" ht="12.75" hidden="1" x14ac:dyDescent="0.2"/>
    <row r="1771" ht="12.75" hidden="1" x14ac:dyDescent="0.2"/>
    <row r="1772" ht="12.75" hidden="1" x14ac:dyDescent="0.2"/>
    <row r="1773" ht="12.75" hidden="1" x14ac:dyDescent="0.2"/>
    <row r="1774" ht="12.75" hidden="1" x14ac:dyDescent="0.2"/>
    <row r="1775" ht="12.75" hidden="1" x14ac:dyDescent="0.2"/>
    <row r="1776" ht="12.75" hidden="1" x14ac:dyDescent="0.2"/>
    <row r="1777" ht="12.75" hidden="1" x14ac:dyDescent="0.2"/>
    <row r="1778" ht="12.75" hidden="1" x14ac:dyDescent="0.2"/>
    <row r="1779" ht="12.75" hidden="1" x14ac:dyDescent="0.2"/>
    <row r="1780" ht="12.75" hidden="1" x14ac:dyDescent="0.2"/>
    <row r="1781" ht="12.75" hidden="1" x14ac:dyDescent="0.2"/>
    <row r="1782" ht="12.75" hidden="1" x14ac:dyDescent="0.2"/>
    <row r="1783" ht="12.75" hidden="1" x14ac:dyDescent="0.2"/>
    <row r="1784" ht="12.75" hidden="1" x14ac:dyDescent="0.2"/>
    <row r="1785" ht="12.75" hidden="1" x14ac:dyDescent="0.2"/>
    <row r="1786" ht="12.75" hidden="1" x14ac:dyDescent="0.2"/>
    <row r="1787" ht="12.75" hidden="1" x14ac:dyDescent="0.2"/>
    <row r="1788" ht="12.75" hidden="1" x14ac:dyDescent="0.2"/>
    <row r="1789" ht="12.75" hidden="1" x14ac:dyDescent="0.2"/>
    <row r="1790" ht="12.75" hidden="1" x14ac:dyDescent="0.2"/>
    <row r="1791" ht="12.75" hidden="1" x14ac:dyDescent="0.2"/>
    <row r="1792" ht="12.75" hidden="1" x14ac:dyDescent="0.2"/>
    <row r="1793" ht="12.75" hidden="1" x14ac:dyDescent="0.2"/>
    <row r="1794" ht="12.75" hidden="1" x14ac:dyDescent="0.2"/>
    <row r="1795" ht="12.75" hidden="1" x14ac:dyDescent="0.2"/>
    <row r="1796" ht="12.75" hidden="1" x14ac:dyDescent="0.2"/>
    <row r="1797" ht="12.75" hidden="1" x14ac:dyDescent="0.2"/>
    <row r="1798" ht="12.75" hidden="1" x14ac:dyDescent="0.2"/>
    <row r="1799" ht="12.75" hidden="1" x14ac:dyDescent="0.2"/>
    <row r="1800" ht="12.75" hidden="1" x14ac:dyDescent="0.2"/>
    <row r="1801" ht="12.75" hidden="1" x14ac:dyDescent="0.2"/>
    <row r="1802" ht="12.75" hidden="1" x14ac:dyDescent="0.2"/>
    <row r="1803" ht="12.75" hidden="1" x14ac:dyDescent="0.2"/>
    <row r="1804" ht="12.75" hidden="1" x14ac:dyDescent="0.2"/>
    <row r="1805" ht="12.75" hidden="1" x14ac:dyDescent="0.2"/>
    <row r="1806" ht="12.75" hidden="1" x14ac:dyDescent="0.2"/>
    <row r="1807" ht="12.75" hidden="1" x14ac:dyDescent="0.2"/>
    <row r="1808" ht="12.75" hidden="1" x14ac:dyDescent="0.2"/>
    <row r="1809" ht="12.75" hidden="1" x14ac:dyDescent="0.2"/>
    <row r="1810" ht="12.75" hidden="1" x14ac:dyDescent="0.2"/>
    <row r="1811" ht="12.75" hidden="1" x14ac:dyDescent="0.2"/>
    <row r="1812" ht="12.75" hidden="1" x14ac:dyDescent="0.2"/>
    <row r="1813" ht="12.75" hidden="1" x14ac:dyDescent="0.2"/>
    <row r="1814" ht="12.75" hidden="1" x14ac:dyDescent="0.2"/>
    <row r="1815" ht="12.75" hidden="1" x14ac:dyDescent="0.2"/>
    <row r="1816" ht="12.75" hidden="1" x14ac:dyDescent="0.2"/>
    <row r="1817" ht="12.75" hidden="1" x14ac:dyDescent="0.2"/>
    <row r="1818" ht="12.75" hidden="1" x14ac:dyDescent="0.2"/>
    <row r="1819" ht="12.75" hidden="1" x14ac:dyDescent="0.2"/>
    <row r="1820" ht="12.75" hidden="1" x14ac:dyDescent="0.2"/>
    <row r="1821" ht="12.75" hidden="1" x14ac:dyDescent="0.2"/>
    <row r="1822" ht="12.75" hidden="1" x14ac:dyDescent="0.2"/>
    <row r="1823" ht="12.75" hidden="1" x14ac:dyDescent="0.2"/>
    <row r="1824" ht="12.75" hidden="1" x14ac:dyDescent="0.2"/>
    <row r="1825" ht="12.75" hidden="1" x14ac:dyDescent="0.2"/>
    <row r="1826" ht="12.75" hidden="1" x14ac:dyDescent="0.2"/>
    <row r="1827" ht="12.75" hidden="1" x14ac:dyDescent="0.2"/>
    <row r="1828" ht="12.75" hidden="1" x14ac:dyDescent="0.2"/>
    <row r="1829" ht="12.75" hidden="1" x14ac:dyDescent="0.2"/>
    <row r="1830" ht="12.75" hidden="1" x14ac:dyDescent="0.2"/>
    <row r="1831" ht="12.75" hidden="1" x14ac:dyDescent="0.2"/>
    <row r="1832" ht="12.75" hidden="1" x14ac:dyDescent="0.2"/>
    <row r="1833" ht="12.75" hidden="1" x14ac:dyDescent="0.2"/>
    <row r="1834" ht="12.75" hidden="1" x14ac:dyDescent="0.2"/>
    <row r="1835" ht="12.75" hidden="1" x14ac:dyDescent="0.2"/>
    <row r="1836" ht="12.75" hidden="1" x14ac:dyDescent="0.2"/>
    <row r="1837" ht="12.75" hidden="1" x14ac:dyDescent="0.2"/>
    <row r="1838" ht="12.75" hidden="1" x14ac:dyDescent="0.2"/>
    <row r="1839" ht="12.75" hidden="1" x14ac:dyDescent="0.2"/>
    <row r="1840" ht="12.75" hidden="1" x14ac:dyDescent="0.2"/>
    <row r="1841" ht="12.75" hidden="1" x14ac:dyDescent="0.2"/>
    <row r="1842" ht="12.75" hidden="1" x14ac:dyDescent="0.2"/>
    <row r="1843" ht="12.75" hidden="1" x14ac:dyDescent="0.2"/>
    <row r="1844" ht="12.75" hidden="1" x14ac:dyDescent="0.2"/>
    <row r="1845" ht="12.75" hidden="1" x14ac:dyDescent="0.2"/>
    <row r="1846" ht="12.75" hidden="1" x14ac:dyDescent="0.2"/>
    <row r="1847" ht="12.75" hidden="1" x14ac:dyDescent="0.2"/>
    <row r="1848" ht="12.75" hidden="1" x14ac:dyDescent="0.2"/>
    <row r="1849" ht="12.75" hidden="1" x14ac:dyDescent="0.2"/>
    <row r="1850" ht="12.75" hidden="1" x14ac:dyDescent="0.2"/>
    <row r="1851" ht="12.75" hidden="1" x14ac:dyDescent="0.2"/>
    <row r="1852" ht="12.75" hidden="1" x14ac:dyDescent="0.2"/>
    <row r="1853" ht="12.75" hidden="1" x14ac:dyDescent="0.2"/>
    <row r="1854" ht="12.75" hidden="1" x14ac:dyDescent="0.2"/>
    <row r="1855" ht="12.75" hidden="1" x14ac:dyDescent="0.2"/>
    <row r="1856" ht="12.75" hidden="1" x14ac:dyDescent="0.2"/>
    <row r="1857" ht="12.75" hidden="1" x14ac:dyDescent="0.2"/>
    <row r="1858" ht="12.75" hidden="1" x14ac:dyDescent="0.2"/>
    <row r="1859" ht="12.75" hidden="1" x14ac:dyDescent="0.2"/>
    <row r="1860" ht="12.75" hidden="1" x14ac:dyDescent="0.2"/>
    <row r="1861" ht="12.75" hidden="1" x14ac:dyDescent="0.2"/>
    <row r="1862" ht="12.75" hidden="1" x14ac:dyDescent="0.2"/>
    <row r="1863" ht="12.75" hidden="1" x14ac:dyDescent="0.2"/>
    <row r="1864" ht="12.75" hidden="1" x14ac:dyDescent="0.2"/>
    <row r="1865" ht="12.75" hidden="1" x14ac:dyDescent="0.2"/>
    <row r="1866" ht="12.75" hidden="1" x14ac:dyDescent="0.2"/>
    <row r="1867" ht="12.75" hidden="1" x14ac:dyDescent="0.2"/>
    <row r="1868" ht="12.75" hidden="1" x14ac:dyDescent="0.2"/>
    <row r="1869" ht="12.75" hidden="1" x14ac:dyDescent="0.2"/>
    <row r="1870" ht="12.75" hidden="1" x14ac:dyDescent="0.2"/>
    <row r="1871" ht="12.75" hidden="1" x14ac:dyDescent="0.2"/>
    <row r="1872" ht="12.75" hidden="1" x14ac:dyDescent="0.2"/>
    <row r="1873" ht="12.75" hidden="1" x14ac:dyDescent="0.2"/>
    <row r="1874" ht="12.75" hidden="1" x14ac:dyDescent="0.2"/>
    <row r="1875" ht="12.75" hidden="1" x14ac:dyDescent="0.2"/>
    <row r="1876" ht="12.75" hidden="1" x14ac:dyDescent="0.2"/>
  </sheetData>
  <sheetProtection sheet="1" objects="1" scenarios="1"/>
  <mergeCells count="3">
    <mergeCell ref="A1:B1"/>
    <mergeCell ref="B2:C3"/>
    <mergeCell ref="D2:G3"/>
  </mergeCells>
  <printOptions horizontalCentered="1" gridLines="1"/>
  <pageMargins left="0.3" right="0.3" top="0.3" bottom="0.3" header="0" footer="0"/>
  <pageSetup scale="92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Order Form</vt:lpstr>
      <vt:lpstr>Fruit Trees</vt:lpstr>
      <vt:lpstr>Jim Reck</vt:lpstr>
      <vt:lpstr>Landscape Trees </vt:lpstr>
      <vt:lpstr>Printer Version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 Authority LLC</dc:creator>
  <cp:lastModifiedBy>Hasan Malik</cp:lastModifiedBy>
  <cp:lastPrinted>2025-11-10T21:05:22Z</cp:lastPrinted>
  <dcterms:created xsi:type="dcterms:W3CDTF">2025-11-10T21:11:25Z</dcterms:created>
  <dcterms:modified xsi:type="dcterms:W3CDTF">2025-11-10T21:11:25Z</dcterms:modified>
</cp:coreProperties>
</file>