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13_ncr:20001_{DBE38354-F8A2-41E4-8FAA-53B3BAA656C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84178864_5D4C_44C1_AE1B_0A0C05904A32_.wvu.FilterData" localSheetId="2" hidden="1">'Jim Reck'!$F$3:$F$473</definedName>
    <definedName name="Z_84178864_5D4C_44C1_AE1B_0A0C05904A32_.wvu.FilterData" localSheetId="0" hidden="1">'Order Form'!$F$3:$F$463</definedName>
  </definedNames>
  <calcPr calcId="191029"/>
  <customWorkbookViews>
    <customWorkbookView name="Filter 1" guid="{84178864-5D4C-44C1-AE1B-0A0C05904A32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C396" i="5"/>
  <c r="H395" i="5"/>
  <c r="C395" i="5"/>
  <c r="H394" i="5"/>
  <c r="C394" i="5"/>
  <c r="H393" i="5"/>
  <c r="C393" i="5"/>
  <c r="H392" i="5"/>
  <c r="C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D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C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H226" i="4"/>
  <c r="G396" i="5" s="1"/>
  <c r="G226" i="4"/>
  <c r="F396" i="5" s="1"/>
  <c r="F226" i="4"/>
  <c r="E396" i="5" s="1"/>
  <c r="E226" i="4"/>
  <c r="D396" i="5" s="1"/>
  <c r="C226" i="4"/>
  <c r="B396" i="5" s="1"/>
  <c r="A226" i="4"/>
  <c r="A396" i="5" s="1"/>
  <c r="H225" i="4"/>
  <c r="G395" i="5" s="1"/>
  <c r="G225" i="4"/>
  <c r="F395" i="5" s="1"/>
  <c r="F225" i="4"/>
  <c r="E395" i="5" s="1"/>
  <c r="E225" i="4"/>
  <c r="D395" i="5" s="1"/>
  <c r="C225" i="4"/>
  <c r="B395" i="5" s="1"/>
  <c r="A225" i="4"/>
  <c r="A395" i="5" s="1"/>
  <c r="H224" i="4"/>
  <c r="G394" i="5" s="1"/>
  <c r="G224" i="4"/>
  <c r="F394" i="5" s="1"/>
  <c r="F224" i="4"/>
  <c r="E394" i="5" s="1"/>
  <c r="E224" i="4"/>
  <c r="D394" i="5" s="1"/>
  <c r="C224" i="4"/>
  <c r="B394" i="5" s="1"/>
  <c r="A224" i="4"/>
  <c r="A394" i="5" s="1"/>
  <c r="H223" i="4"/>
  <c r="G393" i="5" s="1"/>
  <c r="G223" i="4"/>
  <c r="F393" i="5" s="1"/>
  <c r="F223" i="4"/>
  <c r="E393" i="5" s="1"/>
  <c r="E223" i="4"/>
  <c r="D393" i="5" s="1"/>
  <c r="C223" i="4"/>
  <c r="B393" i="5" s="1"/>
  <c r="A223" i="4"/>
  <c r="A393" i="5" s="1"/>
  <c r="H222" i="4"/>
  <c r="G392" i="5" s="1"/>
  <c r="G222" i="4"/>
  <c r="F392" i="5" s="1"/>
  <c r="F222" i="4"/>
  <c r="E392" i="5" s="1"/>
  <c r="E222" i="4"/>
  <c r="D392" i="5" s="1"/>
  <c r="C222" i="4"/>
  <c r="B392" i="5" s="1"/>
  <c r="A222" i="4"/>
  <c r="A392" i="5" s="1"/>
  <c r="H221" i="4"/>
  <c r="G391" i="5" s="1"/>
  <c r="G221" i="4"/>
  <c r="F391" i="5" s="1"/>
  <c r="F221" i="4"/>
  <c r="E391" i="5" s="1"/>
  <c r="E221" i="4"/>
  <c r="D391" i="5" s="1"/>
  <c r="D221" i="4"/>
  <c r="C391" i="5" s="1"/>
  <c r="C221" i="4"/>
  <c r="B391" i="5" s="1"/>
  <c r="B221" i="4"/>
  <c r="A221" i="4"/>
  <c r="A391" i="5" s="1"/>
  <c r="H220" i="4"/>
  <c r="G390" i="5" s="1"/>
  <c r="G220" i="4"/>
  <c r="F390" i="5" s="1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389" i="5" s="1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385" i="5" s="1"/>
  <c r="G215" i="4"/>
  <c r="F385" i="5" s="1"/>
  <c r="F215" i="4"/>
  <c r="E385" i="5" s="1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381" i="5" s="1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374" i="5" s="1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373" i="5" s="1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369" i="5" s="1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366" i="5" s="1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357" i="5" s="1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344" i="5" s="1"/>
  <c r="C174" i="4"/>
  <c r="B344" i="5" s="1"/>
  <c r="B174" i="4"/>
  <c r="A174" i="4"/>
  <c r="H173" i="4"/>
  <c r="G343" i="5" s="1"/>
  <c r="G173" i="4"/>
  <c r="F343" i="5" s="1"/>
  <c r="F173" i="4"/>
  <c r="E343" i="5" s="1"/>
  <c r="E173" i="4"/>
  <c r="D173" i="4"/>
  <c r="C343" i="5" s="1"/>
  <c r="C173" i="4"/>
  <c r="B343" i="5" s="1"/>
  <c r="B173" i="4"/>
  <c r="A173" i="4"/>
  <c r="H172" i="4"/>
  <c r="G342" i="5" s="1"/>
  <c r="G172" i="4"/>
  <c r="F342" i="5" s="1"/>
  <c r="F172" i="4"/>
  <c r="E172" i="4"/>
  <c r="D342" i="5" s="1"/>
  <c r="D172" i="4"/>
  <c r="C342" i="5" s="1"/>
  <c r="C172" i="4"/>
  <c r="B342" i="5" s="1"/>
  <c r="B172" i="4"/>
  <c r="A172" i="4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341" i="5" s="1"/>
  <c r="B171" i="4"/>
  <c r="A171" i="4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H166" i="4"/>
  <c r="G336" i="5" s="1"/>
  <c r="G166" i="4"/>
  <c r="F336" i="5" s="1"/>
  <c r="F166" i="4"/>
  <c r="E336" i="5" s="1"/>
  <c r="E166" i="4"/>
  <c r="D336" i="5" s="1"/>
  <c r="D166" i="4"/>
  <c r="C166" i="4"/>
  <c r="B336" i="5" s="1"/>
  <c r="B166" i="4"/>
  <c r="A166" i="4"/>
  <c r="H165" i="4"/>
  <c r="G335" i="5" s="1"/>
  <c r="G165" i="4"/>
  <c r="F335" i="5" s="1"/>
  <c r="F165" i="4"/>
  <c r="E335" i="5" s="1"/>
  <c r="E165" i="4"/>
  <c r="D165" i="4"/>
  <c r="C335" i="5" s="1"/>
  <c r="C165" i="4"/>
  <c r="B335" i="5" s="1"/>
  <c r="B165" i="4"/>
  <c r="A165" i="4"/>
  <c r="H164" i="4"/>
  <c r="G334" i="5" s="1"/>
  <c r="G164" i="4"/>
  <c r="F334" i="5" s="1"/>
  <c r="F164" i="4"/>
  <c r="E164" i="4"/>
  <c r="D334" i="5" s="1"/>
  <c r="D164" i="4"/>
  <c r="C334" i="5" s="1"/>
  <c r="C164" i="4"/>
  <c r="B334" i="5" s="1"/>
  <c r="B164" i="4"/>
  <c r="A164" i="4"/>
  <c r="H163" i="4"/>
  <c r="G333" i="5" s="1"/>
  <c r="G163" i="4"/>
  <c r="F333" i="5" s="1"/>
  <c r="F163" i="4"/>
  <c r="E333" i="5" s="1"/>
  <c r="E163" i="4"/>
  <c r="D163" i="4"/>
  <c r="C333" i="5" s="1"/>
  <c r="C163" i="4"/>
  <c r="B333" i="5" s="1"/>
  <c r="B163" i="4"/>
  <c r="A163" i="4"/>
  <c r="H162" i="4"/>
  <c r="G332" i="5" s="1"/>
  <c r="G162" i="4"/>
  <c r="F332" i="5" s="1"/>
  <c r="F162" i="4"/>
  <c r="E332" i="5" s="1"/>
  <c r="E162" i="4"/>
  <c r="D162" i="4"/>
  <c r="C332" i="5" s="1"/>
  <c r="C162" i="4"/>
  <c r="B332" i="5" s="1"/>
  <c r="B162" i="4"/>
  <c r="A162" i="4"/>
  <c r="H161" i="4"/>
  <c r="G331" i="5" s="1"/>
  <c r="G161" i="4"/>
  <c r="F331" i="5" s="1"/>
  <c r="F161" i="4"/>
  <c r="E331" i="5" s="1"/>
  <c r="E161" i="4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330" i="5" s="1"/>
  <c r="E160" i="4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159" i="4"/>
  <c r="C329" i="5" s="1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158" i="4"/>
  <c r="C328" i="5" s="1"/>
  <c r="C158" i="4"/>
  <c r="B328" i="5" s="1"/>
  <c r="B158" i="4"/>
  <c r="A158" i="4"/>
  <c r="A328" i="5" s="1"/>
  <c r="H157" i="4"/>
  <c r="G327" i="5" s="1"/>
  <c r="G157" i="4"/>
  <c r="F327" i="5" s="1"/>
  <c r="F157" i="4"/>
  <c r="E327" i="5" s="1"/>
  <c r="E157" i="4"/>
  <c r="D157" i="4"/>
  <c r="C327" i="5" s="1"/>
  <c r="C157" i="4"/>
  <c r="B327" i="5" s="1"/>
  <c r="B157" i="4"/>
  <c r="A157" i="4"/>
  <c r="A327" i="5" s="1"/>
  <c r="H156" i="4"/>
  <c r="G326" i="5" s="1"/>
  <c r="G156" i="4"/>
  <c r="F326" i="5" s="1"/>
  <c r="F156" i="4"/>
  <c r="E156" i="4"/>
  <c r="D156" i="4"/>
  <c r="C326" i="5" s="1"/>
  <c r="C156" i="4"/>
  <c r="B326" i="5" s="1"/>
  <c r="B156" i="4"/>
  <c r="A156" i="4"/>
  <c r="A326" i="5" s="1"/>
  <c r="H155" i="4"/>
  <c r="G325" i="5" s="1"/>
  <c r="G155" i="4"/>
  <c r="F325" i="5" s="1"/>
  <c r="F155" i="4"/>
  <c r="E325" i="5" s="1"/>
  <c r="E155" i="4"/>
  <c r="D325" i="5" s="1"/>
  <c r="D155" i="4"/>
  <c r="C325" i="5" s="1"/>
  <c r="C155" i="4"/>
  <c r="B325" i="5" s="1"/>
  <c r="B155" i="4"/>
  <c r="A155" i="4"/>
  <c r="A325" i="5" s="1"/>
  <c r="H154" i="4"/>
  <c r="G324" i="5" s="1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H153" i="4"/>
  <c r="G323" i="5" s="1"/>
  <c r="G153" i="4"/>
  <c r="F323" i="5" s="1"/>
  <c r="F153" i="4"/>
  <c r="E323" i="5" s="1"/>
  <c r="E153" i="4"/>
  <c r="D153" i="4"/>
  <c r="C323" i="5" s="1"/>
  <c r="C153" i="4"/>
  <c r="B323" i="5" s="1"/>
  <c r="B153" i="4"/>
  <c r="A153" i="4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151" i="4"/>
  <c r="C321" i="5" s="1"/>
  <c r="C151" i="4"/>
  <c r="B151" i="4"/>
  <c r="A151" i="4"/>
  <c r="A321" i="5" s="1"/>
  <c r="H150" i="4"/>
  <c r="G320" i="5" s="1"/>
  <c r="G150" i="4"/>
  <c r="F320" i="5" s="1"/>
  <c r="F150" i="4"/>
  <c r="E320" i="5" s="1"/>
  <c r="E150" i="4"/>
  <c r="D150" i="4"/>
  <c r="C320" i="5" s="1"/>
  <c r="C150" i="4"/>
  <c r="B320" i="5" s="1"/>
  <c r="B150" i="4"/>
  <c r="A150" i="4"/>
  <c r="A320" i="5" s="1"/>
  <c r="H149" i="4"/>
  <c r="G319" i="5" s="1"/>
  <c r="G149" i="4"/>
  <c r="F319" i="5" s="1"/>
  <c r="F149" i="4"/>
  <c r="E319" i="5" s="1"/>
  <c r="E149" i="4"/>
  <c r="D149" i="4"/>
  <c r="C319" i="5" s="1"/>
  <c r="C149" i="4"/>
  <c r="B319" i="5" s="1"/>
  <c r="B149" i="4"/>
  <c r="A149" i="4"/>
  <c r="A319" i="5" s="1"/>
  <c r="H148" i="4"/>
  <c r="G318" i="5" s="1"/>
  <c r="G148" i="4"/>
  <c r="F318" i="5" s="1"/>
  <c r="F148" i="4"/>
  <c r="E148" i="4"/>
  <c r="D148" i="4"/>
  <c r="C318" i="5" s="1"/>
  <c r="C148" i="4"/>
  <c r="B318" i="5" s="1"/>
  <c r="B148" i="4"/>
  <c r="A148" i="4"/>
  <c r="A318" i="5" s="1"/>
  <c r="H147" i="4"/>
  <c r="G317" i="5" s="1"/>
  <c r="G147" i="4"/>
  <c r="F317" i="5" s="1"/>
  <c r="F147" i="4"/>
  <c r="E317" i="5" s="1"/>
  <c r="E147" i="4"/>
  <c r="D317" i="5" s="1"/>
  <c r="D147" i="4"/>
  <c r="C317" i="5" s="1"/>
  <c r="C147" i="4"/>
  <c r="B317" i="5" s="1"/>
  <c r="B147" i="4"/>
  <c r="A147" i="4"/>
  <c r="H146" i="4"/>
  <c r="G316" i="5" s="1"/>
  <c r="G146" i="4"/>
  <c r="F316" i="5" s="1"/>
  <c r="F146" i="4"/>
  <c r="E316" i="5" s="1"/>
  <c r="E146" i="4"/>
  <c r="D146" i="4"/>
  <c r="C316" i="5" s="1"/>
  <c r="C146" i="4"/>
  <c r="B316" i="5" s="1"/>
  <c r="B146" i="4"/>
  <c r="A146" i="4"/>
  <c r="H145" i="4"/>
  <c r="G315" i="5" s="1"/>
  <c r="G145" i="4"/>
  <c r="F315" i="5" s="1"/>
  <c r="F145" i="4"/>
  <c r="E315" i="5" s="1"/>
  <c r="E145" i="4"/>
  <c r="D145" i="4"/>
  <c r="C315" i="5" s="1"/>
  <c r="C145" i="4"/>
  <c r="B315" i="5" s="1"/>
  <c r="B145" i="4"/>
  <c r="A145" i="4"/>
  <c r="H144" i="4"/>
  <c r="G314" i="5" s="1"/>
  <c r="G144" i="4"/>
  <c r="F314" i="5" s="1"/>
  <c r="F144" i="4"/>
  <c r="E314" i="5" s="1"/>
  <c r="E144" i="4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143" i="4"/>
  <c r="C313" i="5" s="1"/>
  <c r="C143" i="4"/>
  <c r="B143" i="4"/>
  <c r="A143" i="4"/>
  <c r="A313" i="5" s="1"/>
  <c r="H142" i="4"/>
  <c r="G312" i="5" s="1"/>
  <c r="G142" i="4"/>
  <c r="F312" i="5" s="1"/>
  <c r="F142" i="4"/>
  <c r="E312" i="5" s="1"/>
  <c r="E142" i="4"/>
  <c r="D142" i="4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141" i="4"/>
  <c r="C311" i="5" s="1"/>
  <c r="C141" i="4"/>
  <c r="B311" i="5" s="1"/>
  <c r="B141" i="4"/>
  <c r="A141" i="4"/>
  <c r="H140" i="4"/>
  <c r="G310" i="5" s="1"/>
  <c r="G140" i="4"/>
  <c r="F310" i="5" s="1"/>
  <c r="F140" i="4"/>
  <c r="E140" i="4"/>
  <c r="D140" i="4"/>
  <c r="C310" i="5" s="1"/>
  <c r="C140" i="4"/>
  <c r="B310" i="5" s="1"/>
  <c r="B140" i="4"/>
  <c r="A140" i="4"/>
  <c r="A310" i="5" s="1"/>
  <c r="H139" i="4"/>
  <c r="G309" i="5" s="1"/>
  <c r="G139" i="4"/>
  <c r="F309" i="5" s="1"/>
  <c r="F139" i="4"/>
  <c r="E309" i="5" s="1"/>
  <c r="E139" i="4"/>
  <c r="D139" i="4"/>
  <c r="C309" i="5" s="1"/>
  <c r="C139" i="4"/>
  <c r="B309" i="5" s="1"/>
  <c r="B139" i="4"/>
  <c r="A139" i="4"/>
  <c r="A309" i="5" s="1"/>
  <c r="H138" i="4"/>
  <c r="G308" i="5" s="1"/>
  <c r="G138" i="4"/>
  <c r="F308" i="5" s="1"/>
  <c r="F138" i="4"/>
  <c r="E308" i="5" s="1"/>
  <c r="E138" i="4"/>
  <c r="D138" i="4"/>
  <c r="C308" i="5" s="1"/>
  <c r="C138" i="4"/>
  <c r="B308" i="5" s="1"/>
  <c r="B138" i="4"/>
  <c r="A138" i="4"/>
  <c r="H137" i="4"/>
  <c r="G307" i="5" s="1"/>
  <c r="G137" i="4"/>
  <c r="F307" i="5" s="1"/>
  <c r="F137" i="4"/>
  <c r="E307" i="5" s="1"/>
  <c r="E137" i="4"/>
  <c r="D137" i="4"/>
  <c r="C307" i="5" s="1"/>
  <c r="C137" i="4"/>
  <c r="B307" i="5" s="1"/>
  <c r="B137" i="4"/>
  <c r="A137" i="4"/>
  <c r="H136" i="4"/>
  <c r="G306" i="5" s="1"/>
  <c r="G136" i="4"/>
  <c r="F306" i="5" s="1"/>
  <c r="F136" i="4"/>
  <c r="E306" i="5" s="1"/>
  <c r="E136" i="4"/>
  <c r="D136" i="4"/>
  <c r="C306" i="5" s="1"/>
  <c r="C136" i="4"/>
  <c r="B306" i="5" s="1"/>
  <c r="B136" i="4"/>
  <c r="A136" i="4"/>
  <c r="H135" i="4"/>
  <c r="G305" i="5" s="1"/>
  <c r="G135" i="4"/>
  <c r="F305" i="5" s="1"/>
  <c r="F135" i="4"/>
  <c r="E305" i="5" s="1"/>
  <c r="E135" i="4"/>
  <c r="D135" i="4"/>
  <c r="C305" i="5" s="1"/>
  <c r="C135" i="4"/>
  <c r="B135" i="4"/>
  <c r="A135" i="4"/>
  <c r="H134" i="4"/>
  <c r="G304" i="5" s="1"/>
  <c r="G134" i="4"/>
  <c r="F304" i="5" s="1"/>
  <c r="F134" i="4"/>
  <c r="E304" i="5" s="1"/>
  <c r="E134" i="4"/>
  <c r="D134" i="4"/>
  <c r="C134" i="4"/>
  <c r="B304" i="5" s="1"/>
  <c r="B134" i="4"/>
  <c r="A134" i="4"/>
  <c r="A304" i="5" s="1"/>
  <c r="H133" i="4"/>
  <c r="G303" i="5" s="1"/>
  <c r="G133" i="4"/>
  <c r="F303" i="5" s="1"/>
  <c r="F133" i="4"/>
  <c r="E303" i="5" s="1"/>
  <c r="E133" i="4"/>
  <c r="D133" i="4"/>
  <c r="C303" i="5" s="1"/>
  <c r="C133" i="4"/>
  <c r="B303" i="5" s="1"/>
  <c r="B133" i="4"/>
  <c r="A133" i="4"/>
  <c r="A303" i="5" s="1"/>
  <c r="H132" i="4"/>
  <c r="G302" i="5" s="1"/>
  <c r="G132" i="4"/>
  <c r="F302" i="5" s="1"/>
  <c r="F132" i="4"/>
  <c r="E132" i="4"/>
  <c r="D132" i="4"/>
  <c r="C302" i="5" s="1"/>
  <c r="C132" i="4"/>
  <c r="B302" i="5" s="1"/>
  <c r="B132" i="4"/>
  <c r="A132" i="4"/>
  <c r="A302" i="5" s="1"/>
  <c r="H131" i="4"/>
  <c r="G301" i="5" s="1"/>
  <c r="G131" i="4"/>
  <c r="F301" i="5" s="1"/>
  <c r="F131" i="4"/>
  <c r="E301" i="5" s="1"/>
  <c r="E131" i="4"/>
  <c r="D131" i="4"/>
  <c r="C301" i="5" s="1"/>
  <c r="C131" i="4"/>
  <c r="B301" i="5" s="1"/>
  <c r="B131" i="4"/>
  <c r="A131" i="4"/>
  <c r="H130" i="4"/>
  <c r="G300" i="5" s="1"/>
  <c r="G130" i="4"/>
  <c r="F300" i="5" s="1"/>
  <c r="F130" i="4"/>
  <c r="E300" i="5" s="1"/>
  <c r="E130" i="4"/>
  <c r="D130" i="4"/>
  <c r="C300" i="5" s="1"/>
  <c r="C130" i="4"/>
  <c r="B300" i="5" s="1"/>
  <c r="B130" i="4"/>
  <c r="A130" i="4"/>
  <c r="H129" i="4"/>
  <c r="G299" i="5" s="1"/>
  <c r="G129" i="4"/>
  <c r="F299" i="5" s="1"/>
  <c r="F129" i="4"/>
  <c r="E299" i="5" s="1"/>
  <c r="E129" i="4"/>
  <c r="D129" i="4"/>
  <c r="C299" i="5" s="1"/>
  <c r="C129" i="4"/>
  <c r="B299" i="5" s="1"/>
  <c r="B129" i="4"/>
  <c r="A129" i="4"/>
  <c r="H128" i="4"/>
  <c r="G298" i="5" s="1"/>
  <c r="G128" i="4"/>
  <c r="F298" i="5" s="1"/>
  <c r="F128" i="4"/>
  <c r="E298" i="5" s="1"/>
  <c r="E128" i="4"/>
  <c r="D128" i="4"/>
  <c r="C298" i="5" s="1"/>
  <c r="C128" i="4"/>
  <c r="B298" i="5" s="1"/>
  <c r="B128" i="4"/>
  <c r="A128" i="4"/>
  <c r="H127" i="4"/>
  <c r="G297" i="5" s="1"/>
  <c r="G127" i="4"/>
  <c r="F297" i="5" s="1"/>
  <c r="F127" i="4"/>
  <c r="E297" i="5" s="1"/>
  <c r="E127" i="4"/>
  <c r="D297" i="5" s="1"/>
  <c r="D127" i="4"/>
  <c r="C297" i="5" s="1"/>
  <c r="C127" i="4"/>
  <c r="B127" i="4"/>
  <c r="A127" i="4"/>
  <c r="H126" i="4"/>
  <c r="G296" i="5" s="1"/>
  <c r="G126" i="4"/>
  <c r="F296" i="5" s="1"/>
  <c r="F126" i="4"/>
  <c r="E296" i="5" s="1"/>
  <c r="E126" i="4"/>
  <c r="D126" i="4"/>
  <c r="C126" i="4"/>
  <c r="B296" i="5" s="1"/>
  <c r="B126" i="4"/>
  <c r="A126" i="4"/>
  <c r="H125" i="4"/>
  <c r="G295" i="5" s="1"/>
  <c r="G125" i="4"/>
  <c r="F295" i="5" s="1"/>
  <c r="F125" i="4"/>
  <c r="E295" i="5" s="1"/>
  <c r="E125" i="4"/>
  <c r="D125" i="4"/>
  <c r="C295" i="5" s="1"/>
  <c r="C125" i="4"/>
  <c r="B295" i="5" s="1"/>
  <c r="B125" i="4"/>
  <c r="A125" i="4"/>
  <c r="H124" i="4"/>
  <c r="G294" i="5" s="1"/>
  <c r="G124" i="4"/>
  <c r="F294" i="5" s="1"/>
  <c r="F124" i="4"/>
  <c r="E124" i="4"/>
  <c r="D294" i="5" s="1"/>
  <c r="D124" i="4"/>
  <c r="C294" i="5" s="1"/>
  <c r="C124" i="4"/>
  <c r="B294" i="5" s="1"/>
  <c r="B124" i="4"/>
  <c r="A124" i="4"/>
  <c r="H123" i="4"/>
  <c r="G293" i="5" s="1"/>
  <c r="G123" i="4"/>
  <c r="F293" i="5" s="1"/>
  <c r="F123" i="4"/>
  <c r="E293" i="5" s="1"/>
  <c r="E123" i="4"/>
  <c r="D123" i="4"/>
  <c r="C293" i="5" s="1"/>
  <c r="C123" i="4"/>
  <c r="B293" i="5" s="1"/>
  <c r="B123" i="4"/>
  <c r="A123" i="4"/>
  <c r="H122" i="4"/>
  <c r="G292" i="5" s="1"/>
  <c r="G122" i="4"/>
  <c r="F292" i="5" s="1"/>
  <c r="F122" i="4"/>
  <c r="E292" i="5" s="1"/>
  <c r="E122" i="4"/>
  <c r="D122" i="4"/>
  <c r="C292" i="5" s="1"/>
  <c r="C122" i="4"/>
  <c r="B292" i="5" s="1"/>
  <c r="B122" i="4"/>
  <c r="A122" i="4"/>
  <c r="A292" i="5" s="1"/>
  <c r="H121" i="4"/>
  <c r="G291" i="5" s="1"/>
  <c r="G121" i="4"/>
  <c r="F291" i="5" s="1"/>
  <c r="F121" i="4"/>
  <c r="E291" i="5" s="1"/>
  <c r="E121" i="4"/>
  <c r="D121" i="4"/>
  <c r="C291" i="5" s="1"/>
  <c r="C121" i="4"/>
  <c r="B291" i="5" s="1"/>
  <c r="B121" i="4"/>
  <c r="A121" i="4"/>
  <c r="A291" i="5" s="1"/>
  <c r="H120" i="4"/>
  <c r="G290" i="5" s="1"/>
  <c r="G120" i="4"/>
  <c r="F290" i="5" s="1"/>
  <c r="F120" i="4"/>
  <c r="E290" i="5" s="1"/>
  <c r="E120" i="4"/>
  <c r="D120" i="4"/>
  <c r="C290" i="5" s="1"/>
  <c r="C120" i="4"/>
  <c r="B290" i="5" s="1"/>
  <c r="B120" i="4"/>
  <c r="A120" i="4"/>
  <c r="H119" i="4"/>
  <c r="G289" i="5" s="1"/>
  <c r="G119" i="4"/>
  <c r="F289" i="5" s="1"/>
  <c r="F119" i="4"/>
  <c r="E289" i="5" s="1"/>
  <c r="E119" i="4"/>
  <c r="D119" i="4"/>
  <c r="C289" i="5" s="1"/>
  <c r="C119" i="4"/>
  <c r="B119" i="4"/>
  <c r="A119" i="4"/>
  <c r="H118" i="4"/>
  <c r="G288" i="5" s="1"/>
  <c r="G118" i="4"/>
  <c r="F288" i="5" s="1"/>
  <c r="F118" i="4"/>
  <c r="E288" i="5" s="1"/>
  <c r="E118" i="4"/>
  <c r="D118" i="4"/>
  <c r="C118" i="4"/>
  <c r="B288" i="5" s="1"/>
  <c r="B118" i="4"/>
  <c r="A118" i="4"/>
  <c r="H117" i="4"/>
  <c r="G287" i="5" s="1"/>
  <c r="G117" i="4"/>
  <c r="F287" i="5" s="1"/>
  <c r="F117" i="4"/>
  <c r="E287" i="5" s="1"/>
  <c r="E117" i="4"/>
  <c r="D117" i="4"/>
  <c r="C287" i="5" s="1"/>
  <c r="C117" i="4"/>
  <c r="B287" i="5" s="1"/>
  <c r="B117" i="4"/>
  <c r="A117" i="4"/>
  <c r="H116" i="4"/>
  <c r="G286" i="5" s="1"/>
  <c r="G116" i="4"/>
  <c r="F286" i="5" s="1"/>
  <c r="F116" i="4"/>
  <c r="E116" i="4"/>
  <c r="D286" i="5" s="1"/>
  <c r="D116" i="4"/>
  <c r="C286" i="5" s="1"/>
  <c r="C116" i="4"/>
  <c r="B286" i="5" s="1"/>
  <c r="B116" i="4"/>
  <c r="A116" i="4"/>
  <c r="H115" i="4"/>
  <c r="G285" i="5" s="1"/>
  <c r="G115" i="4"/>
  <c r="F285" i="5" s="1"/>
  <c r="F115" i="4"/>
  <c r="E285" i="5" s="1"/>
  <c r="E115" i="4"/>
  <c r="D285" i="5" s="1"/>
  <c r="D115" i="4"/>
  <c r="C285" i="5" s="1"/>
  <c r="C115" i="4"/>
  <c r="B285" i="5" s="1"/>
  <c r="B115" i="4"/>
  <c r="A115" i="4"/>
  <c r="A285" i="5" s="1"/>
  <c r="H114" i="4"/>
  <c r="G284" i="5" s="1"/>
  <c r="G114" i="4"/>
  <c r="F284" i="5" s="1"/>
  <c r="F114" i="4"/>
  <c r="E284" i="5" s="1"/>
  <c r="E114" i="4"/>
  <c r="D114" i="4"/>
  <c r="C284" i="5" s="1"/>
  <c r="C114" i="4"/>
  <c r="B284" i="5" s="1"/>
  <c r="B114" i="4"/>
  <c r="A114" i="4"/>
  <c r="A284" i="5" s="1"/>
  <c r="H113" i="4"/>
  <c r="G283" i="5" s="1"/>
  <c r="G113" i="4"/>
  <c r="F283" i="5" s="1"/>
  <c r="F113" i="4"/>
  <c r="E283" i="5" s="1"/>
  <c r="E113" i="4"/>
  <c r="D113" i="4"/>
  <c r="C283" i="5" s="1"/>
  <c r="C113" i="4"/>
  <c r="B283" i="5" s="1"/>
  <c r="B113" i="4"/>
  <c r="A113" i="4"/>
  <c r="A283" i="5" s="1"/>
  <c r="H112" i="4"/>
  <c r="G282" i="5" s="1"/>
  <c r="G112" i="4"/>
  <c r="F282" i="5" s="1"/>
  <c r="F112" i="4"/>
  <c r="E282" i="5" s="1"/>
  <c r="E112" i="4"/>
  <c r="D112" i="4"/>
  <c r="C282" i="5" s="1"/>
  <c r="C112" i="4"/>
  <c r="B282" i="5" s="1"/>
  <c r="B112" i="4"/>
  <c r="A112" i="4"/>
  <c r="H111" i="4"/>
  <c r="G281" i="5" s="1"/>
  <c r="G111" i="4"/>
  <c r="F281" i="5" s="1"/>
  <c r="F111" i="4"/>
  <c r="E281" i="5" s="1"/>
  <c r="E111" i="4"/>
  <c r="D111" i="4"/>
  <c r="C281" i="5" s="1"/>
  <c r="C111" i="4"/>
  <c r="B111" i="4"/>
  <c r="A111" i="4"/>
  <c r="A281" i="5" s="1"/>
  <c r="H110" i="4"/>
  <c r="G280" i="5" s="1"/>
  <c r="G110" i="4"/>
  <c r="F280" i="5" s="1"/>
  <c r="F110" i="4"/>
  <c r="E280" i="5" s="1"/>
  <c r="E110" i="4"/>
  <c r="D110" i="4"/>
  <c r="C110" i="4"/>
  <c r="B280" i="5" s="1"/>
  <c r="B110" i="4"/>
  <c r="A110" i="4"/>
  <c r="H109" i="4"/>
  <c r="G279" i="5" s="1"/>
  <c r="G109" i="4"/>
  <c r="F279" i="5" s="1"/>
  <c r="F109" i="4"/>
  <c r="E279" i="5" s="1"/>
  <c r="E109" i="4"/>
  <c r="D109" i="4"/>
  <c r="C279" i="5" s="1"/>
  <c r="C109" i="4"/>
  <c r="B279" i="5" s="1"/>
  <c r="B109" i="4"/>
  <c r="A109" i="4"/>
  <c r="H108" i="4"/>
  <c r="G278" i="5" s="1"/>
  <c r="G108" i="4"/>
  <c r="F278" i="5" s="1"/>
  <c r="F108" i="4"/>
  <c r="E108" i="4"/>
  <c r="D108" i="4"/>
  <c r="C278" i="5" s="1"/>
  <c r="C108" i="4"/>
  <c r="B278" i="5" s="1"/>
  <c r="B108" i="4"/>
  <c r="A108" i="4"/>
  <c r="H107" i="4"/>
  <c r="G277" i="5" s="1"/>
  <c r="G107" i="4"/>
  <c r="F277" i="5" s="1"/>
  <c r="F107" i="4"/>
  <c r="E277" i="5" s="1"/>
  <c r="E107" i="4"/>
  <c r="D107" i="4"/>
  <c r="C277" i="5" s="1"/>
  <c r="C107" i="4"/>
  <c r="B277" i="5" s="1"/>
  <c r="B107" i="4"/>
  <c r="A107" i="4"/>
  <c r="H106" i="4"/>
  <c r="G276" i="5" s="1"/>
  <c r="G106" i="4"/>
  <c r="F276" i="5" s="1"/>
  <c r="F106" i="4"/>
  <c r="E276" i="5" s="1"/>
  <c r="E106" i="4"/>
  <c r="D106" i="4"/>
  <c r="C276" i="5" s="1"/>
  <c r="C106" i="4"/>
  <c r="B276" i="5" s="1"/>
  <c r="B106" i="4"/>
  <c r="A106" i="4"/>
  <c r="H105" i="4"/>
  <c r="G275" i="5" s="1"/>
  <c r="G105" i="4"/>
  <c r="F275" i="5" s="1"/>
  <c r="F105" i="4"/>
  <c r="E275" i="5" s="1"/>
  <c r="E105" i="4"/>
  <c r="D105" i="4"/>
  <c r="C275" i="5" s="1"/>
  <c r="C105" i="4"/>
  <c r="B275" i="5" s="1"/>
  <c r="B105" i="4"/>
  <c r="A105" i="4"/>
  <c r="A275" i="5" s="1"/>
  <c r="H104" i="4"/>
  <c r="G274" i="5" s="1"/>
  <c r="G104" i="4"/>
  <c r="F274" i="5" s="1"/>
  <c r="F104" i="4"/>
  <c r="E274" i="5" s="1"/>
  <c r="E104" i="4"/>
  <c r="D104" i="4"/>
  <c r="C274" i="5" s="1"/>
  <c r="C104" i="4"/>
  <c r="B274" i="5" s="1"/>
  <c r="B104" i="4"/>
  <c r="A104" i="4"/>
  <c r="H103" i="4"/>
  <c r="G273" i="5" s="1"/>
  <c r="G103" i="4"/>
  <c r="F273" i="5" s="1"/>
  <c r="F103" i="4"/>
  <c r="E273" i="5" s="1"/>
  <c r="E103" i="4"/>
  <c r="D103" i="4"/>
  <c r="C273" i="5" s="1"/>
  <c r="C103" i="4"/>
  <c r="B103" i="4"/>
  <c r="A103" i="4"/>
  <c r="A273" i="5" s="1"/>
  <c r="H102" i="4"/>
  <c r="G272" i="5" s="1"/>
  <c r="G102" i="4"/>
  <c r="F272" i="5" s="1"/>
  <c r="F102" i="4"/>
  <c r="E272" i="5" s="1"/>
  <c r="E102" i="4"/>
  <c r="D102" i="4"/>
  <c r="C102" i="4"/>
  <c r="B272" i="5" s="1"/>
  <c r="B102" i="4"/>
  <c r="A102" i="4"/>
  <c r="H101" i="4"/>
  <c r="G271" i="5" s="1"/>
  <c r="G101" i="4"/>
  <c r="F271" i="5" s="1"/>
  <c r="F101" i="4"/>
  <c r="E271" i="5" s="1"/>
  <c r="E101" i="4"/>
  <c r="D101" i="4"/>
  <c r="C271" i="5" s="1"/>
  <c r="C101" i="4"/>
  <c r="B271" i="5" s="1"/>
  <c r="B101" i="4"/>
  <c r="A101" i="4"/>
  <c r="H100" i="4"/>
  <c r="G270" i="5" s="1"/>
  <c r="G100" i="4"/>
  <c r="F270" i="5" s="1"/>
  <c r="F100" i="4"/>
  <c r="E100" i="4"/>
  <c r="D100" i="4"/>
  <c r="C270" i="5" s="1"/>
  <c r="C100" i="4"/>
  <c r="B270" i="5" s="1"/>
  <c r="B100" i="4"/>
  <c r="A100" i="4"/>
  <c r="A270" i="5" s="1"/>
  <c r="H99" i="4"/>
  <c r="G269" i="5" s="1"/>
  <c r="G99" i="4"/>
  <c r="F269" i="5" s="1"/>
  <c r="F99" i="4"/>
  <c r="E269" i="5" s="1"/>
  <c r="E99" i="4"/>
  <c r="D99" i="4"/>
  <c r="C269" i="5" s="1"/>
  <c r="C99" i="4"/>
  <c r="B269" i="5" s="1"/>
  <c r="B99" i="4"/>
  <c r="A99" i="4"/>
  <c r="A269" i="5" s="1"/>
  <c r="H98" i="4"/>
  <c r="G268" i="5" s="1"/>
  <c r="G98" i="4"/>
  <c r="F268" i="5" s="1"/>
  <c r="F98" i="4"/>
  <c r="E268" i="5" s="1"/>
  <c r="E98" i="4"/>
  <c r="D98" i="4"/>
  <c r="C268" i="5" s="1"/>
  <c r="C98" i="4"/>
  <c r="B268" i="5" s="1"/>
  <c r="B98" i="4"/>
  <c r="A98" i="4"/>
  <c r="H97" i="4"/>
  <c r="G267" i="5" s="1"/>
  <c r="G97" i="4"/>
  <c r="F267" i="5" s="1"/>
  <c r="F97" i="4"/>
  <c r="E267" i="5" s="1"/>
  <c r="E97" i="4"/>
  <c r="D97" i="4"/>
  <c r="C267" i="5" s="1"/>
  <c r="C97" i="4"/>
  <c r="B267" i="5" s="1"/>
  <c r="B97" i="4"/>
  <c r="A97" i="4"/>
  <c r="H96" i="4"/>
  <c r="G266" i="5" s="1"/>
  <c r="G96" i="4"/>
  <c r="F266" i="5" s="1"/>
  <c r="F96" i="4"/>
  <c r="E266" i="5" s="1"/>
  <c r="E96" i="4"/>
  <c r="D96" i="4"/>
  <c r="C266" i="5" s="1"/>
  <c r="C96" i="4"/>
  <c r="B266" i="5" s="1"/>
  <c r="B96" i="4"/>
  <c r="A96" i="4"/>
  <c r="H95" i="4"/>
  <c r="G265" i="5" s="1"/>
  <c r="G95" i="4"/>
  <c r="F265" i="5" s="1"/>
  <c r="F95" i="4"/>
  <c r="E265" i="5" s="1"/>
  <c r="E95" i="4"/>
  <c r="D95" i="4"/>
  <c r="C265" i="5" s="1"/>
  <c r="C95" i="4"/>
  <c r="B95" i="4"/>
  <c r="A95" i="4"/>
  <c r="A265" i="5" s="1"/>
  <c r="H94" i="4"/>
  <c r="G264" i="5" s="1"/>
  <c r="G94" i="4"/>
  <c r="F264" i="5" s="1"/>
  <c r="F94" i="4"/>
  <c r="E264" i="5" s="1"/>
  <c r="E94" i="4"/>
  <c r="D94" i="4"/>
  <c r="C94" i="4"/>
  <c r="B264" i="5" s="1"/>
  <c r="B94" i="4"/>
  <c r="A94" i="4"/>
  <c r="A264" i="5" s="1"/>
  <c r="H93" i="4"/>
  <c r="G263" i="5" s="1"/>
  <c r="G93" i="4"/>
  <c r="F263" i="5" s="1"/>
  <c r="F93" i="4"/>
  <c r="E263" i="5" s="1"/>
  <c r="E93" i="4"/>
  <c r="D93" i="4"/>
  <c r="C263" i="5" s="1"/>
  <c r="C93" i="4"/>
  <c r="B263" i="5" s="1"/>
  <c r="B93" i="4"/>
  <c r="A93" i="4"/>
  <c r="A263" i="5" s="1"/>
  <c r="H92" i="4"/>
  <c r="G262" i="5" s="1"/>
  <c r="G92" i="4"/>
  <c r="F262" i="5" s="1"/>
  <c r="F92" i="4"/>
  <c r="E92" i="4"/>
  <c r="D92" i="4"/>
  <c r="C262" i="5" s="1"/>
  <c r="C92" i="4"/>
  <c r="B262" i="5" s="1"/>
  <c r="B92" i="4"/>
  <c r="A92" i="4"/>
  <c r="A262" i="5" s="1"/>
  <c r="H91" i="4"/>
  <c r="G261" i="5" s="1"/>
  <c r="G91" i="4"/>
  <c r="F261" i="5" s="1"/>
  <c r="F91" i="4"/>
  <c r="E261" i="5" s="1"/>
  <c r="E91" i="4"/>
  <c r="D91" i="4"/>
  <c r="C261" i="5" s="1"/>
  <c r="C91" i="4"/>
  <c r="B261" i="5" s="1"/>
  <c r="B91" i="4"/>
  <c r="A91" i="4"/>
  <c r="A261" i="5" s="1"/>
  <c r="H90" i="4"/>
  <c r="G260" i="5" s="1"/>
  <c r="G90" i="4"/>
  <c r="F260" i="5" s="1"/>
  <c r="F90" i="4"/>
  <c r="E260" i="5" s="1"/>
  <c r="E90" i="4"/>
  <c r="D90" i="4"/>
  <c r="C260" i="5" s="1"/>
  <c r="C90" i="4"/>
  <c r="B260" i="5" s="1"/>
  <c r="B90" i="4"/>
  <c r="A90" i="4"/>
  <c r="A260" i="5" s="1"/>
  <c r="H89" i="4"/>
  <c r="G259" i="5" s="1"/>
  <c r="G89" i="4"/>
  <c r="F259" i="5" s="1"/>
  <c r="F89" i="4"/>
  <c r="E259" i="5" s="1"/>
  <c r="E89" i="4"/>
  <c r="D89" i="4"/>
  <c r="C259" i="5" s="1"/>
  <c r="C89" i="4"/>
  <c r="B259" i="5" s="1"/>
  <c r="B89" i="4"/>
  <c r="A89" i="4"/>
  <c r="A259" i="5" s="1"/>
  <c r="H88" i="4"/>
  <c r="G258" i="5" s="1"/>
  <c r="G88" i="4"/>
  <c r="F258" i="5" s="1"/>
  <c r="F88" i="4"/>
  <c r="E258" i="5" s="1"/>
  <c r="E88" i="4"/>
  <c r="D88" i="4"/>
  <c r="C258" i="5" s="1"/>
  <c r="C88" i="4"/>
  <c r="B258" i="5" s="1"/>
  <c r="B88" i="4"/>
  <c r="A88" i="4"/>
  <c r="H87" i="4"/>
  <c r="G257" i="5" s="1"/>
  <c r="G87" i="4"/>
  <c r="F257" i="5" s="1"/>
  <c r="F87" i="4"/>
  <c r="E257" i="5" s="1"/>
  <c r="E87" i="4"/>
  <c r="D87" i="4"/>
  <c r="C257" i="5" s="1"/>
  <c r="C87" i="4"/>
  <c r="B87" i="4"/>
  <c r="A87" i="4"/>
  <c r="A257" i="5" s="1"/>
  <c r="H86" i="4"/>
  <c r="G256" i="5" s="1"/>
  <c r="G86" i="4"/>
  <c r="F256" i="5" s="1"/>
  <c r="F86" i="4"/>
  <c r="E256" i="5" s="1"/>
  <c r="E86" i="4"/>
  <c r="D86" i="4"/>
  <c r="C86" i="4"/>
  <c r="B256" i="5" s="1"/>
  <c r="B86" i="4"/>
  <c r="A86" i="4"/>
  <c r="A256" i="5" s="1"/>
  <c r="H85" i="4"/>
  <c r="G255" i="5" s="1"/>
  <c r="G85" i="4"/>
  <c r="F255" i="5" s="1"/>
  <c r="F85" i="4"/>
  <c r="E255" i="5" s="1"/>
  <c r="E85" i="4"/>
  <c r="D85" i="4"/>
  <c r="C255" i="5" s="1"/>
  <c r="C85" i="4"/>
  <c r="B255" i="5" s="1"/>
  <c r="B85" i="4"/>
  <c r="A85" i="4"/>
  <c r="A255" i="5" s="1"/>
  <c r="H84" i="4"/>
  <c r="G254" i="5" s="1"/>
  <c r="G84" i="4"/>
  <c r="F254" i="5" s="1"/>
  <c r="F84" i="4"/>
  <c r="E84" i="4"/>
  <c r="D84" i="4"/>
  <c r="C254" i="5" s="1"/>
  <c r="C84" i="4"/>
  <c r="B254" i="5" s="1"/>
  <c r="B84" i="4"/>
  <c r="A84" i="4"/>
  <c r="H83" i="4"/>
  <c r="G253" i="5" s="1"/>
  <c r="G83" i="4"/>
  <c r="F253" i="5" s="1"/>
  <c r="F83" i="4"/>
  <c r="E253" i="5" s="1"/>
  <c r="E83" i="4"/>
  <c r="D83" i="4"/>
  <c r="C253" i="5" s="1"/>
  <c r="C83" i="4"/>
  <c r="B253" i="5" s="1"/>
  <c r="B83" i="4"/>
  <c r="A83" i="4"/>
  <c r="A253" i="5" s="1"/>
  <c r="H82" i="4"/>
  <c r="G82" i="4"/>
  <c r="F252" i="5" s="1"/>
  <c r="F82" i="4"/>
  <c r="E252" i="5" s="1"/>
  <c r="E82" i="4"/>
  <c r="D82" i="4"/>
  <c r="C252" i="5" s="1"/>
  <c r="C82" i="4"/>
  <c r="B252" i="5" s="1"/>
  <c r="B82" i="4"/>
  <c r="A82" i="4"/>
  <c r="A252" i="5" s="1"/>
  <c r="H81" i="4"/>
  <c r="G251" i="5" s="1"/>
  <c r="G81" i="4"/>
  <c r="F251" i="5" s="1"/>
  <c r="F81" i="4"/>
  <c r="E251" i="5" s="1"/>
  <c r="E81" i="4"/>
  <c r="D81" i="4"/>
  <c r="C251" i="5" s="1"/>
  <c r="C81" i="4"/>
  <c r="B251" i="5" s="1"/>
  <c r="B81" i="4"/>
  <c r="A81" i="4"/>
  <c r="A251" i="5" s="1"/>
  <c r="H80" i="4"/>
  <c r="G250" i="5" s="1"/>
  <c r="G80" i="4"/>
  <c r="F250" i="5" s="1"/>
  <c r="F80" i="4"/>
  <c r="E250" i="5" s="1"/>
  <c r="E80" i="4"/>
  <c r="D80" i="4"/>
  <c r="C250" i="5" s="1"/>
  <c r="C80" i="4"/>
  <c r="B250" i="5" s="1"/>
  <c r="B80" i="4"/>
  <c r="A80" i="4"/>
  <c r="H79" i="4"/>
  <c r="G249" i="5" s="1"/>
  <c r="G79" i="4"/>
  <c r="F249" i="5" s="1"/>
  <c r="F79" i="4"/>
  <c r="E249" i="5" s="1"/>
  <c r="E79" i="4"/>
  <c r="D79" i="4"/>
  <c r="C249" i="5" s="1"/>
  <c r="C79" i="4"/>
  <c r="B79" i="4"/>
  <c r="A79" i="4"/>
  <c r="H78" i="4"/>
  <c r="G248" i="5" s="1"/>
  <c r="G78" i="4"/>
  <c r="F248" i="5" s="1"/>
  <c r="F78" i="4"/>
  <c r="E248" i="5" s="1"/>
  <c r="E78" i="4"/>
  <c r="D78" i="4"/>
  <c r="C78" i="4"/>
  <c r="B248" i="5" s="1"/>
  <c r="B78" i="4"/>
  <c r="A78" i="4"/>
  <c r="H77" i="4"/>
  <c r="G247" i="5" s="1"/>
  <c r="G77" i="4"/>
  <c r="F247" i="5" s="1"/>
  <c r="F77" i="4"/>
  <c r="E247" i="5" s="1"/>
  <c r="E77" i="4"/>
  <c r="D77" i="4"/>
  <c r="C247" i="5" s="1"/>
  <c r="C77" i="4"/>
  <c r="B247" i="5" s="1"/>
  <c r="B77" i="4"/>
  <c r="A77" i="4"/>
  <c r="H76" i="4"/>
  <c r="G246" i="5" s="1"/>
  <c r="G76" i="4"/>
  <c r="F246" i="5" s="1"/>
  <c r="F76" i="4"/>
  <c r="E76" i="4"/>
  <c r="D76" i="4"/>
  <c r="C246" i="5" s="1"/>
  <c r="C76" i="4"/>
  <c r="B246" i="5" s="1"/>
  <c r="B76" i="4"/>
  <c r="A76" i="4"/>
  <c r="A246" i="5" s="1"/>
  <c r="H75" i="4"/>
  <c r="G245" i="5" s="1"/>
  <c r="G75" i="4"/>
  <c r="F75" i="4"/>
  <c r="E245" i="5" s="1"/>
  <c r="E75" i="4"/>
  <c r="D75" i="4"/>
  <c r="C245" i="5" s="1"/>
  <c r="C75" i="4"/>
  <c r="B245" i="5" s="1"/>
  <c r="B75" i="4"/>
  <c r="A75" i="4"/>
  <c r="A245" i="5" s="1"/>
  <c r="H74" i="4"/>
  <c r="G74" i="4"/>
  <c r="F244" i="5" s="1"/>
  <c r="F74" i="4"/>
  <c r="E244" i="5" s="1"/>
  <c r="E74" i="4"/>
  <c r="D74" i="4"/>
  <c r="C244" i="5" s="1"/>
  <c r="C74" i="4"/>
  <c r="B244" i="5" s="1"/>
  <c r="B74" i="4"/>
  <c r="A74" i="4"/>
  <c r="A244" i="5" s="1"/>
  <c r="H73" i="4"/>
  <c r="G243" i="5" s="1"/>
  <c r="G73" i="4"/>
  <c r="F243" i="5" s="1"/>
  <c r="F73" i="4"/>
  <c r="E243" i="5" s="1"/>
  <c r="E73" i="4"/>
  <c r="D73" i="4"/>
  <c r="C243" i="5" s="1"/>
  <c r="C73" i="4"/>
  <c r="B243" i="5" s="1"/>
  <c r="B73" i="4"/>
  <c r="A73" i="4"/>
  <c r="A243" i="5" s="1"/>
  <c r="H72" i="4"/>
  <c r="G242" i="5" s="1"/>
  <c r="G72" i="4"/>
  <c r="F242" i="5" s="1"/>
  <c r="F72" i="4"/>
  <c r="E242" i="5" s="1"/>
  <c r="E72" i="4"/>
  <c r="D72" i="4"/>
  <c r="C242" i="5" s="1"/>
  <c r="C72" i="4"/>
  <c r="B242" i="5" s="1"/>
  <c r="B72" i="4"/>
  <c r="A72" i="4"/>
  <c r="H71" i="4"/>
  <c r="G241" i="5" s="1"/>
  <c r="G71" i="4"/>
  <c r="F241" i="5" s="1"/>
  <c r="F71" i="4"/>
  <c r="E241" i="5" s="1"/>
  <c r="E71" i="4"/>
  <c r="D71" i="4"/>
  <c r="C241" i="5" s="1"/>
  <c r="C71" i="4"/>
  <c r="B71" i="4"/>
  <c r="A71" i="4"/>
  <c r="A241" i="5" s="1"/>
  <c r="H70" i="4"/>
  <c r="G240" i="5" s="1"/>
  <c r="G70" i="4"/>
  <c r="F240" i="5" s="1"/>
  <c r="F70" i="4"/>
  <c r="E240" i="5" s="1"/>
  <c r="E70" i="4"/>
  <c r="D70" i="4"/>
  <c r="C70" i="4"/>
  <c r="B240" i="5" s="1"/>
  <c r="B70" i="4"/>
  <c r="A70" i="4"/>
  <c r="H69" i="4"/>
  <c r="G239" i="5" s="1"/>
  <c r="G69" i="4"/>
  <c r="F239" i="5" s="1"/>
  <c r="F69" i="4"/>
  <c r="E239" i="5" s="1"/>
  <c r="E69" i="4"/>
  <c r="D69" i="4"/>
  <c r="C239" i="5" s="1"/>
  <c r="C69" i="4"/>
  <c r="B239" i="5" s="1"/>
  <c r="B69" i="4"/>
  <c r="A69" i="4"/>
  <c r="H68" i="4"/>
  <c r="G238" i="5" s="1"/>
  <c r="G68" i="4"/>
  <c r="F238" i="5" s="1"/>
  <c r="F68" i="4"/>
  <c r="E68" i="4"/>
  <c r="D68" i="4"/>
  <c r="C238" i="5" s="1"/>
  <c r="C68" i="4"/>
  <c r="B238" i="5" s="1"/>
  <c r="B68" i="4"/>
  <c r="A68" i="4"/>
  <c r="A238" i="5" s="1"/>
  <c r="H67" i="4"/>
  <c r="G237" i="5" s="1"/>
  <c r="G67" i="4"/>
  <c r="F67" i="4"/>
  <c r="E237" i="5" s="1"/>
  <c r="E67" i="4"/>
  <c r="D67" i="4"/>
  <c r="C237" i="5" s="1"/>
  <c r="C67" i="4"/>
  <c r="B237" i="5" s="1"/>
  <c r="B67" i="4"/>
  <c r="A67" i="4"/>
  <c r="H66" i="4"/>
  <c r="G236" i="5" s="1"/>
  <c r="G66" i="4"/>
  <c r="F236" i="5" s="1"/>
  <c r="F66" i="4"/>
  <c r="E236" i="5" s="1"/>
  <c r="E66" i="4"/>
  <c r="D66" i="4"/>
  <c r="C236" i="5" s="1"/>
  <c r="C66" i="4"/>
  <c r="B236" i="5" s="1"/>
  <c r="B66" i="4"/>
  <c r="A66" i="4"/>
  <c r="H65" i="4"/>
  <c r="G235" i="5" s="1"/>
  <c r="G65" i="4"/>
  <c r="F235" i="5" s="1"/>
  <c r="F65" i="4"/>
  <c r="E235" i="5" s="1"/>
  <c r="E65" i="4"/>
  <c r="D65" i="4"/>
  <c r="C235" i="5" s="1"/>
  <c r="C65" i="4"/>
  <c r="B235" i="5" s="1"/>
  <c r="B65" i="4"/>
  <c r="A65" i="4"/>
  <c r="A235" i="5" s="1"/>
  <c r="H64" i="4"/>
  <c r="G234" i="5" s="1"/>
  <c r="G64" i="4"/>
  <c r="F234" i="5" s="1"/>
  <c r="F64" i="4"/>
  <c r="E234" i="5" s="1"/>
  <c r="E64" i="4"/>
  <c r="D64" i="4"/>
  <c r="C234" i="5" s="1"/>
  <c r="C64" i="4"/>
  <c r="B234" i="5" s="1"/>
  <c r="B64" i="4"/>
  <c r="A64" i="4"/>
  <c r="A234" i="5" s="1"/>
  <c r="H63" i="4"/>
  <c r="G233" i="5" s="1"/>
  <c r="G63" i="4"/>
  <c r="F233" i="5" s="1"/>
  <c r="F63" i="4"/>
  <c r="E233" i="5" s="1"/>
  <c r="E63" i="4"/>
  <c r="D63" i="4"/>
  <c r="C233" i="5" s="1"/>
  <c r="C63" i="4"/>
  <c r="B233" i="5" s="1"/>
  <c r="B63" i="4"/>
  <c r="A63" i="4"/>
  <c r="H62" i="4"/>
  <c r="G232" i="5" s="1"/>
  <c r="G62" i="4"/>
  <c r="F232" i="5" s="1"/>
  <c r="F62" i="4"/>
  <c r="E232" i="5" s="1"/>
  <c r="E62" i="4"/>
  <c r="D232" i="5" s="1"/>
  <c r="D62" i="4"/>
  <c r="C232" i="5" s="1"/>
  <c r="C62" i="4"/>
  <c r="B232" i="5" s="1"/>
  <c r="B62" i="4"/>
  <c r="A62" i="4"/>
  <c r="H61" i="4"/>
  <c r="G231" i="5" s="1"/>
  <c r="G61" i="4"/>
  <c r="F231" i="5" s="1"/>
  <c r="F61" i="4"/>
  <c r="E231" i="5" s="1"/>
  <c r="E61" i="4"/>
  <c r="D61" i="4"/>
  <c r="C231" i="5" s="1"/>
  <c r="C61" i="4"/>
  <c r="B231" i="5" s="1"/>
  <c r="B61" i="4"/>
  <c r="A61" i="4"/>
  <c r="H60" i="4"/>
  <c r="G230" i="5" s="1"/>
  <c r="G60" i="4"/>
  <c r="F230" i="5" s="1"/>
  <c r="F60" i="4"/>
  <c r="E230" i="5" s="1"/>
  <c r="E60" i="4"/>
  <c r="D60" i="4"/>
  <c r="C230" i="5" s="1"/>
  <c r="C60" i="4"/>
  <c r="B230" i="5" s="1"/>
  <c r="B60" i="4"/>
  <c r="A60" i="4"/>
  <c r="H59" i="4"/>
  <c r="G229" i="5" s="1"/>
  <c r="G59" i="4"/>
  <c r="F229" i="5" s="1"/>
  <c r="F59" i="4"/>
  <c r="E229" i="5" s="1"/>
  <c r="E59" i="4"/>
  <c r="D59" i="4"/>
  <c r="C229" i="5" s="1"/>
  <c r="C59" i="4"/>
  <c r="B229" i="5" s="1"/>
  <c r="B59" i="4"/>
  <c r="A59" i="4"/>
  <c r="H58" i="4"/>
  <c r="G228" i="5" s="1"/>
  <c r="G58" i="4"/>
  <c r="F228" i="5" s="1"/>
  <c r="F58" i="4"/>
  <c r="E228" i="5" s="1"/>
  <c r="E58" i="4"/>
  <c r="D58" i="4"/>
  <c r="C228" i="5" s="1"/>
  <c r="C58" i="4"/>
  <c r="B228" i="5" s="1"/>
  <c r="B58" i="4"/>
  <c r="A58" i="4"/>
  <c r="A228" i="5" s="1"/>
  <c r="H57" i="4"/>
  <c r="G227" i="5" s="1"/>
  <c r="G57" i="4"/>
  <c r="F227" i="5" s="1"/>
  <c r="F57" i="4"/>
  <c r="E227" i="5" s="1"/>
  <c r="E57" i="4"/>
  <c r="D57" i="4"/>
  <c r="C227" i="5" s="1"/>
  <c r="C57" i="4"/>
  <c r="B227" i="5" s="1"/>
  <c r="B57" i="4"/>
  <c r="A57" i="4"/>
  <c r="A227" i="5" s="1"/>
  <c r="H56" i="4"/>
  <c r="G226" i="5" s="1"/>
  <c r="G56" i="4"/>
  <c r="F226" i="5" s="1"/>
  <c r="F56" i="4"/>
  <c r="E226" i="5" s="1"/>
  <c r="E56" i="4"/>
  <c r="D56" i="4"/>
  <c r="C226" i="5" s="1"/>
  <c r="C56" i="4"/>
  <c r="B226" i="5" s="1"/>
  <c r="B56" i="4"/>
  <c r="A56" i="4"/>
  <c r="A226" i="5" s="1"/>
  <c r="H55" i="4"/>
  <c r="G225" i="5" s="1"/>
  <c r="G55" i="4"/>
  <c r="F225" i="5" s="1"/>
  <c r="F55" i="4"/>
  <c r="E225" i="5" s="1"/>
  <c r="E55" i="4"/>
  <c r="D55" i="4"/>
  <c r="C225" i="5" s="1"/>
  <c r="C55" i="4"/>
  <c r="B225" i="5" s="1"/>
  <c r="B55" i="4"/>
  <c r="A55" i="4"/>
  <c r="H54" i="4"/>
  <c r="G224" i="5" s="1"/>
  <c r="G54" i="4"/>
  <c r="F224" i="5" s="1"/>
  <c r="F54" i="4"/>
  <c r="E224" i="5" s="1"/>
  <c r="E54" i="4"/>
  <c r="D54" i="4"/>
  <c r="C224" i="5" s="1"/>
  <c r="C54" i="4"/>
  <c r="B224" i="5" s="1"/>
  <c r="B54" i="4"/>
  <c r="A54" i="4"/>
  <c r="H53" i="4"/>
  <c r="G223" i="5" s="1"/>
  <c r="G53" i="4"/>
  <c r="F223" i="5" s="1"/>
  <c r="F53" i="4"/>
  <c r="E223" i="5" s="1"/>
  <c r="E53" i="4"/>
  <c r="D53" i="4"/>
  <c r="C223" i="5" s="1"/>
  <c r="C53" i="4"/>
  <c r="B223" i="5" s="1"/>
  <c r="B53" i="4"/>
  <c r="A53" i="4"/>
  <c r="H52" i="4"/>
  <c r="G222" i="5" s="1"/>
  <c r="G52" i="4"/>
  <c r="F222" i="5" s="1"/>
  <c r="F52" i="4"/>
  <c r="E222" i="5" s="1"/>
  <c r="E52" i="4"/>
  <c r="D52" i="4"/>
  <c r="C222" i="5" s="1"/>
  <c r="C52" i="4"/>
  <c r="B222" i="5" s="1"/>
  <c r="B52" i="4"/>
  <c r="A52" i="4"/>
  <c r="H51" i="4"/>
  <c r="G221" i="5" s="1"/>
  <c r="G51" i="4"/>
  <c r="F221" i="5" s="1"/>
  <c r="F51" i="4"/>
  <c r="E221" i="5" s="1"/>
  <c r="E51" i="4"/>
  <c r="D51" i="4"/>
  <c r="C221" i="5" s="1"/>
  <c r="C51" i="4"/>
  <c r="B221" i="5" s="1"/>
  <c r="B51" i="4"/>
  <c r="A51" i="4"/>
  <c r="H50" i="4"/>
  <c r="G220" i="5" s="1"/>
  <c r="G50" i="4"/>
  <c r="F220" i="5" s="1"/>
  <c r="F50" i="4"/>
  <c r="E220" i="5" s="1"/>
  <c r="E50" i="4"/>
  <c r="D50" i="4"/>
  <c r="C220" i="5" s="1"/>
  <c r="C50" i="4"/>
  <c r="B220" i="5" s="1"/>
  <c r="B50" i="4"/>
  <c r="A50" i="4"/>
  <c r="H49" i="4"/>
  <c r="G219" i="5" s="1"/>
  <c r="G49" i="4"/>
  <c r="F219" i="5" s="1"/>
  <c r="F49" i="4"/>
  <c r="E49" i="4"/>
  <c r="D49" i="4"/>
  <c r="C219" i="5" s="1"/>
  <c r="C49" i="4"/>
  <c r="B219" i="5" s="1"/>
  <c r="B49" i="4"/>
  <c r="A49" i="4"/>
  <c r="H48" i="4"/>
  <c r="G218" i="5" s="1"/>
  <c r="G48" i="4"/>
  <c r="F218" i="5" s="1"/>
  <c r="F48" i="4"/>
  <c r="E218" i="5" s="1"/>
  <c r="E48" i="4"/>
  <c r="D48" i="4"/>
  <c r="C218" i="5" s="1"/>
  <c r="C48" i="4"/>
  <c r="B218" i="5" s="1"/>
  <c r="B48" i="4"/>
  <c r="A48" i="4"/>
  <c r="H47" i="4"/>
  <c r="G217" i="5" s="1"/>
  <c r="G47" i="4"/>
  <c r="F217" i="5" s="1"/>
  <c r="F47" i="4"/>
  <c r="E217" i="5" s="1"/>
  <c r="E47" i="4"/>
  <c r="D47" i="4"/>
  <c r="C217" i="5" s="1"/>
  <c r="C47" i="4"/>
  <c r="B217" i="5" s="1"/>
  <c r="B47" i="4"/>
  <c r="A47" i="4"/>
  <c r="H46" i="4"/>
  <c r="G216" i="5" s="1"/>
  <c r="G46" i="4"/>
  <c r="F216" i="5" s="1"/>
  <c r="F46" i="4"/>
  <c r="E216" i="5" s="1"/>
  <c r="E46" i="4"/>
  <c r="D46" i="4"/>
  <c r="C216" i="5" s="1"/>
  <c r="C46" i="4"/>
  <c r="B216" i="5" s="1"/>
  <c r="B46" i="4"/>
  <c r="A46" i="4"/>
  <c r="H45" i="4"/>
  <c r="G215" i="5" s="1"/>
  <c r="G45" i="4"/>
  <c r="F215" i="5" s="1"/>
  <c r="F45" i="4"/>
  <c r="E215" i="5" s="1"/>
  <c r="E45" i="4"/>
  <c r="D45" i="4"/>
  <c r="C215" i="5" s="1"/>
  <c r="C45" i="4"/>
  <c r="B215" i="5" s="1"/>
  <c r="B45" i="4"/>
  <c r="A45" i="4"/>
  <c r="H44" i="4"/>
  <c r="G214" i="5" s="1"/>
  <c r="G44" i="4"/>
  <c r="F214" i="5" s="1"/>
  <c r="F44" i="4"/>
  <c r="E214" i="5" s="1"/>
  <c r="E44" i="4"/>
  <c r="D44" i="4"/>
  <c r="C214" i="5" s="1"/>
  <c r="C44" i="4"/>
  <c r="B214" i="5" s="1"/>
  <c r="B44" i="4"/>
  <c r="A44" i="4"/>
  <c r="H43" i="4"/>
  <c r="G213" i="5" s="1"/>
  <c r="G43" i="4"/>
  <c r="F213" i="5" s="1"/>
  <c r="F43" i="4"/>
  <c r="E213" i="5" s="1"/>
  <c r="E43" i="4"/>
  <c r="D43" i="4"/>
  <c r="C213" i="5" s="1"/>
  <c r="C43" i="4"/>
  <c r="B213" i="5" s="1"/>
  <c r="B43" i="4"/>
  <c r="A43" i="4"/>
  <c r="H42" i="4"/>
  <c r="G212" i="5" s="1"/>
  <c r="G42" i="4"/>
  <c r="F212" i="5" s="1"/>
  <c r="F42" i="4"/>
  <c r="E212" i="5" s="1"/>
  <c r="E42" i="4"/>
  <c r="D42" i="4"/>
  <c r="C212" i="5" s="1"/>
  <c r="C42" i="4"/>
  <c r="B212" i="5" s="1"/>
  <c r="B42" i="4"/>
  <c r="A42" i="4"/>
  <c r="H41" i="4"/>
  <c r="G211" i="5" s="1"/>
  <c r="G41" i="4"/>
  <c r="F211" i="5" s="1"/>
  <c r="F41" i="4"/>
  <c r="E41" i="4"/>
  <c r="D41" i="4"/>
  <c r="C211" i="5" s="1"/>
  <c r="C41" i="4"/>
  <c r="B211" i="5" s="1"/>
  <c r="B41" i="4"/>
  <c r="A41" i="4"/>
  <c r="A211" i="5" s="1"/>
  <c r="H40" i="4"/>
  <c r="G210" i="5" s="1"/>
  <c r="G40" i="4"/>
  <c r="F210" i="5" s="1"/>
  <c r="F40" i="4"/>
  <c r="E210" i="5" s="1"/>
  <c r="E40" i="4"/>
  <c r="D40" i="4"/>
  <c r="C210" i="5" s="1"/>
  <c r="C40" i="4"/>
  <c r="B210" i="5" s="1"/>
  <c r="B40" i="4"/>
  <c r="A40" i="4"/>
  <c r="A210" i="5" s="1"/>
  <c r="H39" i="4"/>
  <c r="G209" i="5" s="1"/>
  <c r="G39" i="4"/>
  <c r="F209" i="5" s="1"/>
  <c r="F39" i="4"/>
  <c r="E209" i="5" s="1"/>
  <c r="E39" i="4"/>
  <c r="D39" i="4"/>
  <c r="C209" i="5" s="1"/>
  <c r="C39" i="4"/>
  <c r="B209" i="5" s="1"/>
  <c r="B39" i="4"/>
  <c r="A39" i="4"/>
  <c r="H38" i="4"/>
  <c r="G208" i="5" s="1"/>
  <c r="G38" i="4"/>
  <c r="F208" i="5" s="1"/>
  <c r="F38" i="4"/>
  <c r="E208" i="5" s="1"/>
  <c r="E38" i="4"/>
  <c r="D38" i="4"/>
  <c r="C208" i="5" s="1"/>
  <c r="C38" i="4"/>
  <c r="B208" i="5" s="1"/>
  <c r="B38" i="4"/>
  <c r="A38" i="4"/>
  <c r="H37" i="4"/>
  <c r="G207" i="5" s="1"/>
  <c r="G37" i="4"/>
  <c r="F207" i="5" s="1"/>
  <c r="F37" i="4"/>
  <c r="E207" i="5" s="1"/>
  <c r="E37" i="4"/>
  <c r="D37" i="4"/>
  <c r="C207" i="5" s="1"/>
  <c r="C37" i="4"/>
  <c r="B207" i="5" s="1"/>
  <c r="B37" i="4"/>
  <c r="A37" i="4"/>
  <c r="H36" i="4"/>
  <c r="G206" i="5" s="1"/>
  <c r="G36" i="4"/>
  <c r="F206" i="5" s="1"/>
  <c r="F36" i="4"/>
  <c r="E206" i="5" s="1"/>
  <c r="E36" i="4"/>
  <c r="D36" i="4"/>
  <c r="C206" i="5" s="1"/>
  <c r="C36" i="4"/>
  <c r="B36" i="4"/>
  <c r="A36" i="4"/>
  <c r="A206" i="5" s="1"/>
  <c r="H35" i="4"/>
  <c r="G205" i="5" s="1"/>
  <c r="G35" i="4"/>
  <c r="F205" i="5" s="1"/>
  <c r="F35" i="4"/>
  <c r="E205" i="5" s="1"/>
  <c r="E35" i="4"/>
  <c r="D35" i="4"/>
  <c r="C205" i="5" s="1"/>
  <c r="C35" i="4"/>
  <c r="B205" i="5" s="1"/>
  <c r="B35" i="4"/>
  <c r="A35" i="4"/>
  <c r="A205" i="5" s="1"/>
  <c r="H34" i="4"/>
  <c r="G204" i="5" s="1"/>
  <c r="G34" i="4"/>
  <c r="F204" i="5" s="1"/>
  <c r="F34" i="4"/>
  <c r="E204" i="5" s="1"/>
  <c r="E34" i="4"/>
  <c r="D34" i="4"/>
  <c r="C204" i="5" s="1"/>
  <c r="C34" i="4"/>
  <c r="B204" i="5" s="1"/>
  <c r="B34" i="4"/>
  <c r="A34" i="4"/>
  <c r="H33" i="4"/>
  <c r="G203" i="5" s="1"/>
  <c r="G33" i="4"/>
  <c r="F203" i="5" s="1"/>
  <c r="F33" i="4"/>
  <c r="E33" i="4"/>
  <c r="D33" i="4"/>
  <c r="C203" i="5" s="1"/>
  <c r="C33" i="4"/>
  <c r="B203" i="5" s="1"/>
  <c r="B33" i="4"/>
  <c r="A33" i="4"/>
  <c r="H32" i="4"/>
  <c r="G202" i="5" s="1"/>
  <c r="G32" i="4"/>
  <c r="F202" i="5" s="1"/>
  <c r="F32" i="4"/>
  <c r="E202" i="5" s="1"/>
  <c r="E32" i="4"/>
  <c r="D32" i="4"/>
  <c r="C202" i="5" s="1"/>
  <c r="C32" i="4"/>
  <c r="B202" i="5" s="1"/>
  <c r="B32" i="4"/>
  <c r="A32" i="4"/>
  <c r="H31" i="4"/>
  <c r="G201" i="5" s="1"/>
  <c r="G31" i="4"/>
  <c r="F201" i="5" s="1"/>
  <c r="F31" i="4"/>
  <c r="E201" i="5" s="1"/>
  <c r="E31" i="4"/>
  <c r="D31" i="4"/>
  <c r="C201" i="5" s="1"/>
  <c r="C31" i="4"/>
  <c r="B201" i="5" s="1"/>
  <c r="B31" i="4"/>
  <c r="A31" i="4"/>
  <c r="H30" i="4"/>
  <c r="G200" i="5" s="1"/>
  <c r="G30" i="4"/>
  <c r="F200" i="5" s="1"/>
  <c r="F30" i="4"/>
  <c r="E200" i="5" s="1"/>
  <c r="E30" i="4"/>
  <c r="D30" i="4"/>
  <c r="C200" i="5" s="1"/>
  <c r="C30" i="4"/>
  <c r="B200" i="5" s="1"/>
  <c r="B30" i="4"/>
  <c r="A30" i="4"/>
  <c r="H29" i="4"/>
  <c r="G199" i="5" s="1"/>
  <c r="G29" i="4"/>
  <c r="F199" i="5" s="1"/>
  <c r="F29" i="4"/>
  <c r="E199" i="5" s="1"/>
  <c r="E29" i="4"/>
  <c r="D29" i="4"/>
  <c r="C199" i="5" s="1"/>
  <c r="C29" i="4"/>
  <c r="B199" i="5" s="1"/>
  <c r="B29" i="4"/>
  <c r="A29" i="4"/>
  <c r="H28" i="4"/>
  <c r="G198" i="5" s="1"/>
  <c r="G28" i="4"/>
  <c r="F198" i="5" s="1"/>
  <c r="F28" i="4"/>
  <c r="E198" i="5" s="1"/>
  <c r="E28" i="4"/>
  <c r="D28" i="4"/>
  <c r="C198" i="5" s="1"/>
  <c r="C28" i="4"/>
  <c r="B28" i="4"/>
  <c r="A28" i="4"/>
  <c r="H27" i="4"/>
  <c r="G197" i="5" s="1"/>
  <c r="G27" i="4"/>
  <c r="F197" i="5" s="1"/>
  <c r="F27" i="4"/>
  <c r="E197" i="5" s="1"/>
  <c r="E27" i="4"/>
  <c r="D27" i="4"/>
  <c r="C27" i="4"/>
  <c r="B197" i="5" s="1"/>
  <c r="B27" i="4"/>
  <c r="A27" i="4"/>
  <c r="H26" i="4"/>
  <c r="G196" i="5" s="1"/>
  <c r="G26" i="4"/>
  <c r="F196" i="5" s="1"/>
  <c r="F26" i="4"/>
  <c r="E196" i="5" s="1"/>
  <c r="E26" i="4"/>
  <c r="D26" i="4"/>
  <c r="C196" i="5" s="1"/>
  <c r="C26" i="4"/>
  <c r="B196" i="5" s="1"/>
  <c r="B26" i="4"/>
  <c r="A26" i="4"/>
  <c r="H25" i="4"/>
  <c r="G195" i="5" s="1"/>
  <c r="G25" i="4"/>
  <c r="F195" i="5" s="1"/>
  <c r="F25" i="4"/>
  <c r="E25" i="4"/>
  <c r="D25" i="4"/>
  <c r="C195" i="5" s="1"/>
  <c r="C25" i="4"/>
  <c r="B195" i="5" s="1"/>
  <c r="B25" i="4"/>
  <c r="A25" i="4"/>
  <c r="H24" i="4"/>
  <c r="G194" i="5" s="1"/>
  <c r="G24" i="4"/>
  <c r="F194" i="5" s="1"/>
  <c r="F24" i="4"/>
  <c r="E194" i="5" s="1"/>
  <c r="E24" i="4"/>
  <c r="D24" i="4"/>
  <c r="C24" i="4"/>
  <c r="B194" i="5" s="1"/>
  <c r="B24" i="4"/>
  <c r="A24" i="4"/>
  <c r="A194" i="5" s="1"/>
  <c r="H23" i="4"/>
  <c r="G193" i="5" s="1"/>
  <c r="G23" i="4"/>
  <c r="F193" i="5" s="1"/>
  <c r="F23" i="4"/>
  <c r="E193" i="5" s="1"/>
  <c r="E23" i="4"/>
  <c r="D23" i="4"/>
  <c r="C23" i="4"/>
  <c r="B193" i="5" s="1"/>
  <c r="B23" i="4"/>
  <c r="A23" i="4"/>
  <c r="A193" i="5" s="1"/>
  <c r="H22" i="4"/>
  <c r="G192" i="5" s="1"/>
  <c r="G22" i="4"/>
  <c r="F192" i="5" s="1"/>
  <c r="F22" i="4"/>
  <c r="E192" i="5" s="1"/>
  <c r="E22" i="4"/>
  <c r="D22" i="4"/>
  <c r="C192" i="5" s="1"/>
  <c r="C22" i="4"/>
  <c r="B192" i="5" s="1"/>
  <c r="B22" i="4"/>
  <c r="A22" i="4"/>
  <c r="H21" i="4"/>
  <c r="G191" i="5" s="1"/>
  <c r="G21" i="4"/>
  <c r="F191" i="5" s="1"/>
  <c r="F21" i="4"/>
  <c r="E191" i="5" s="1"/>
  <c r="E21" i="4"/>
  <c r="D21" i="4"/>
  <c r="C191" i="5" s="1"/>
  <c r="C21" i="4"/>
  <c r="B191" i="5" s="1"/>
  <c r="B21" i="4"/>
  <c r="A21" i="4"/>
  <c r="H20" i="4"/>
  <c r="G190" i="5" s="1"/>
  <c r="G20" i="4"/>
  <c r="F190" i="5" s="1"/>
  <c r="F20" i="4"/>
  <c r="E190" i="5" s="1"/>
  <c r="E20" i="4"/>
  <c r="D20" i="4"/>
  <c r="C20" i="4"/>
  <c r="B20" i="4"/>
  <c r="A20" i="4"/>
  <c r="A190" i="5" s="1"/>
  <c r="H19" i="4"/>
  <c r="G189" i="5" s="1"/>
  <c r="G19" i="4"/>
  <c r="F189" i="5" s="1"/>
  <c r="F19" i="4"/>
  <c r="E189" i="5" s="1"/>
  <c r="E19" i="4"/>
  <c r="D19" i="4"/>
  <c r="C19" i="4"/>
  <c r="B189" i="5" s="1"/>
  <c r="B19" i="4"/>
  <c r="A19" i="4"/>
  <c r="H18" i="4"/>
  <c r="G188" i="5" s="1"/>
  <c r="G18" i="4"/>
  <c r="F188" i="5" s="1"/>
  <c r="F18" i="4"/>
  <c r="E188" i="5" s="1"/>
  <c r="E18" i="4"/>
  <c r="D18" i="4"/>
  <c r="C188" i="5" s="1"/>
  <c r="C18" i="4"/>
  <c r="B188" i="5" s="1"/>
  <c r="B18" i="4"/>
  <c r="A18" i="4"/>
  <c r="H17" i="4"/>
  <c r="G187" i="5" s="1"/>
  <c r="G17" i="4"/>
  <c r="F187" i="5" s="1"/>
  <c r="F17" i="4"/>
  <c r="E17" i="4"/>
  <c r="D17" i="4"/>
  <c r="C17" i="4"/>
  <c r="B187" i="5" s="1"/>
  <c r="B17" i="4"/>
  <c r="A17" i="4"/>
  <c r="A187" i="5" s="1"/>
  <c r="H16" i="4"/>
  <c r="G186" i="5" s="1"/>
  <c r="G16" i="4"/>
  <c r="F186" i="5" s="1"/>
  <c r="F16" i="4"/>
  <c r="E186" i="5" s="1"/>
  <c r="E16" i="4"/>
  <c r="D16" i="4"/>
  <c r="C16" i="4"/>
  <c r="B186" i="5" s="1"/>
  <c r="B16" i="4"/>
  <c r="A16" i="4"/>
  <c r="A186" i="5" s="1"/>
  <c r="H15" i="4"/>
  <c r="G185" i="5" s="1"/>
  <c r="G15" i="4"/>
  <c r="F185" i="5" s="1"/>
  <c r="F15" i="4"/>
  <c r="E185" i="5" s="1"/>
  <c r="E15" i="4"/>
  <c r="D15" i="4"/>
  <c r="C185" i="5" s="1"/>
  <c r="C15" i="4"/>
  <c r="B185" i="5" s="1"/>
  <c r="B15" i="4"/>
  <c r="A15" i="4"/>
  <c r="H14" i="4"/>
  <c r="G184" i="5" s="1"/>
  <c r="G14" i="4"/>
  <c r="F184" i="5" s="1"/>
  <c r="F14" i="4"/>
  <c r="E184" i="5" s="1"/>
  <c r="E14" i="4"/>
  <c r="D14" i="4"/>
  <c r="C14" i="4"/>
  <c r="B184" i="5" s="1"/>
  <c r="B14" i="4"/>
  <c r="A14" i="4"/>
  <c r="H13" i="4"/>
  <c r="G183" i="5" s="1"/>
  <c r="G13" i="4"/>
  <c r="F183" i="5" s="1"/>
  <c r="F13" i="4"/>
  <c r="E183" i="5" s="1"/>
  <c r="E13" i="4"/>
  <c r="D13" i="4"/>
  <c r="C13" i="4"/>
  <c r="B183" i="5" s="1"/>
  <c r="B13" i="4"/>
  <c r="A13" i="4"/>
  <c r="H12" i="4"/>
  <c r="G182" i="5" s="1"/>
  <c r="G12" i="4"/>
  <c r="F182" i="5" s="1"/>
  <c r="F12" i="4"/>
  <c r="E182" i="5" s="1"/>
  <c r="E12" i="4"/>
  <c r="D182" i="5" s="1"/>
  <c r="D12" i="4"/>
  <c r="C182" i="5" s="1"/>
  <c r="C12" i="4"/>
  <c r="B12" i="4"/>
  <c r="A12" i="4"/>
  <c r="H11" i="4"/>
  <c r="G181" i="5" s="1"/>
  <c r="G11" i="4"/>
  <c r="F181" i="5" s="1"/>
  <c r="F11" i="4"/>
  <c r="E181" i="5" s="1"/>
  <c r="E11" i="4"/>
  <c r="D11" i="4"/>
  <c r="C11" i="4"/>
  <c r="B181" i="5" s="1"/>
  <c r="B11" i="4"/>
  <c r="A11" i="4"/>
  <c r="A181" i="5" s="1"/>
  <c r="H10" i="4"/>
  <c r="G180" i="5" s="1"/>
  <c r="G10" i="4"/>
  <c r="F180" i="5" s="1"/>
  <c r="F10" i="4"/>
  <c r="E180" i="5" s="1"/>
  <c r="E10" i="4"/>
  <c r="D10" i="4"/>
  <c r="C10" i="4"/>
  <c r="B180" i="5" s="1"/>
  <c r="B10" i="4"/>
  <c r="A10" i="4"/>
  <c r="A180" i="5" s="1"/>
  <c r="H9" i="4"/>
  <c r="G179" i="5" s="1"/>
  <c r="G9" i="4"/>
  <c r="F179" i="5" s="1"/>
  <c r="F9" i="4"/>
  <c r="E9" i="4"/>
  <c r="D9" i="4"/>
  <c r="C179" i="5" s="1"/>
  <c r="C9" i="4"/>
  <c r="B179" i="5" s="1"/>
  <c r="B9" i="4"/>
  <c r="A9" i="4"/>
  <c r="H8" i="4"/>
  <c r="G178" i="5" s="1"/>
  <c r="G8" i="4"/>
  <c r="F178" i="5" s="1"/>
  <c r="F8" i="4"/>
  <c r="E178" i="5" s="1"/>
  <c r="E8" i="4"/>
  <c r="D8" i="4"/>
  <c r="C178" i="5" s="1"/>
  <c r="C8" i="4"/>
  <c r="B178" i="5" s="1"/>
  <c r="B8" i="4"/>
  <c r="A8" i="4"/>
  <c r="H7" i="4"/>
  <c r="G177" i="5" s="1"/>
  <c r="G7" i="4"/>
  <c r="F177" i="5" s="1"/>
  <c r="F7" i="4"/>
  <c r="E177" i="5" s="1"/>
  <c r="E7" i="4"/>
  <c r="D7" i="4"/>
  <c r="C177" i="5" s="1"/>
  <c r="C7" i="4"/>
  <c r="B177" i="5" s="1"/>
  <c r="B7" i="4"/>
  <c r="A7" i="4"/>
  <c r="H6" i="4"/>
  <c r="G176" i="5" s="1"/>
  <c r="G6" i="4"/>
  <c r="F176" i="5" s="1"/>
  <c r="F6" i="4"/>
  <c r="E176" i="5" s="1"/>
  <c r="E6" i="4"/>
  <c r="D6" i="4"/>
  <c r="C176" i="5" s="1"/>
  <c r="C6" i="4"/>
  <c r="B176" i="5" s="1"/>
  <c r="B6" i="4"/>
  <c r="A6" i="4"/>
  <c r="H5" i="4"/>
  <c r="G175" i="5" s="1"/>
  <c r="G5" i="4"/>
  <c r="F175" i="5" s="1"/>
  <c r="F5" i="4"/>
  <c r="E175" i="5" s="1"/>
  <c r="E5" i="4"/>
  <c r="D5" i="4"/>
  <c r="C175" i="5" s="1"/>
  <c r="C5" i="4"/>
  <c r="B175" i="5" s="1"/>
  <c r="B5" i="4"/>
  <c r="A5" i="4"/>
  <c r="H4" i="4"/>
  <c r="G174" i="5" s="1"/>
  <c r="G4" i="4"/>
  <c r="F174" i="5" s="1"/>
  <c r="F4" i="4"/>
  <c r="E174" i="5" s="1"/>
  <c r="E4" i="4"/>
  <c r="D4" i="4"/>
  <c r="C174" i="5" s="1"/>
  <c r="C4" i="4"/>
  <c r="B4" i="4"/>
  <c r="A4" i="4"/>
  <c r="H3" i="4"/>
  <c r="G173" i="5" s="1"/>
  <c r="G3" i="4"/>
  <c r="F173" i="5" s="1"/>
  <c r="F3" i="4"/>
  <c r="E173" i="5" s="1"/>
  <c r="E3" i="4"/>
  <c r="D3" i="4"/>
  <c r="C3" i="4"/>
  <c r="B173" i="5" s="1"/>
  <c r="B3" i="4"/>
  <c r="A3" i="4"/>
  <c r="J2" i="4"/>
  <c r="H2" i="4"/>
  <c r="G172" i="5" s="1"/>
  <c r="G2" i="4"/>
  <c r="F172" i="5" s="1"/>
  <c r="F2" i="4"/>
  <c r="E2" i="4"/>
  <c r="D2" i="4"/>
  <c r="C172" i="5" s="1"/>
  <c r="C2" i="4"/>
  <c r="B172" i="5" s="1"/>
  <c r="B2" i="4"/>
  <c r="A2" i="4"/>
  <c r="A172" i="5" s="1"/>
  <c r="H1" i="4"/>
  <c r="G171" i="5" s="1"/>
  <c r="G1" i="4"/>
  <c r="F171" i="5" s="1"/>
  <c r="F1" i="4"/>
  <c r="E1" i="4"/>
  <c r="D1" i="4"/>
  <c r="C171" i="5" s="1"/>
  <c r="C1" i="4"/>
  <c r="B171" i="5" s="1"/>
  <c r="B1" i="4"/>
  <c r="A1" i="4"/>
  <c r="A171" i="5" s="1"/>
  <c r="H469" i="3"/>
  <c r="G469" i="3"/>
  <c r="J469" i="3" s="1"/>
  <c r="F469" i="3"/>
  <c r="E469" i="3"/>
  <c r="D469" i="3"/>
  <c r="C469" i="3"/>
  <c r="B469" i="3"/>
  <c r="A469" i="3"/>
  <c r="J468" i="3"/>
  <c r="H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H467" i="3" s="1"/>
  <c r="A467" i="3"/>
  <c r="H466" i="3"/>
  <c r="G466" i="3"/>
  <c r="J466" i="3" s="1"/>
  <c r="F466" i="3"/>
  <c r="E466" i="3"/>
  <c r="D466" i="3"/>
  <c r="C466" i="3"/>
  <c r="B466" i="3"/>
  <c r="A466" i="3"/>
  <c r="J465" i="3"/>
  <c r="H465" i="3"/>
  <c r="G465" i="3"/>
  <c r="F465" i="3"/>
  <c r="E465" i="3"/>
  <c r="D465" i="3"/>
  <c r="C465" i="3"/>
  <c r="B465" i="3"/>
  <c r="A465" i="3"/>
  <c r="J464" i="3"/>
  <c r="G464" i="3"/>
  <c r="F464" i="3"/>
  <c r="E464" i="3"/>
  <c r="D464" i="3"/>
  <c r="C464" i="3"/>
  <c r="B464" i="3"/>
  <c r="H464" i="3" s="1"/>
  <c r="A464" i="3"/>
  <c r="J463" i="3"/>
  <c r="G463" i="3"/>
  <c r="F463" i="3"/>
  <c r="E463" i="3"/>
  <c r="D463" i="3"/>
  <c r="C463" i="3"/>
  <c r="B463" i="3"/>
  <c r="H463" i="3" s="1"/>
  <c r="A463" i="3"/>
  <c r="G462" i="3"/>
  <c r="J462" i="3" s="1"/>
  <c r="F462" i="3"/>
  <c r="E462" i="3"/>
  <c r="D462" i="3"/>
  <c r="C462" i="3"/>
  <c r="B462" i="3"/>
  <c r="A462" i="3"/>
  <c r="H461" i="3"/>
  <c r="G461" i="3"/>
  <c r="J461" i="3" s="1"/>
  <c r="F461" i="3"/>
  <c r="E461" i="3"/>
  <c r="D461" i="3"/>
  <c r="C461" i="3"/>
  <c r="B461" i="3"/>
  <c r="A461" i="3"/>
  <c r="J460" i="3"/>
  <c r="H460" i="3"/>
  <c r="G460" i="3"/>
  <c r="F460" i="3"/>
  <c r="E460" i="3"/>
  <c r="D460" i="3"/>
  <c r="C460" i="3"/>
  <c r="B460" i="3"/>
  <c r="A460" i="3"/>
  <c r="G459" i="3"/>
  <c r="J459" i="3" s="1"/>
  <c r="F459" i="3"/>
  <c r="E459" i="3"/>
  <c r="D459" i="3"/>
  <c r="C459" i="3"/>
  <c r="B459" i="3"/>
  <c r="A459" i="3"/>
  <c r="H458" i="3"/>
  <c r="G458" i="3"/>
  <c r="J458" i="3" s="1"/>
  <c r="F458" i="3"/>
  <c r="E458" i="3"/>
  <c r="D458" i="3"/>
  <c r="C458" i="3"/>
  <c r="B458" i="3"/>
  <c r="A458" i="3"/>
  <c r="H457" i="3"/>
  <c r="G457" i="3"/>
  <c r="J457" i="3" s="1"/>
  <c r="F457" i="3"/>
  <c r="E457" i="3"/>
  <c r="D457" i="3"/>
  <c r="C457" i="3"/>
  <c r="B457" i="3"/>
  <c r="A457" i="3"/>
  <c r="J456" i="3"/>
  <c r="H456" i="3"/>
  <c r="G456" i="3"/>
  <c r="F456" i="3"/>
  <c r="E456" i="3"/>
  <c r="D456" i="3"/>
  <c r="C456" i="3"/>
  <c r="B456" i="3"/>
  <c r="A456" i="3"/>
  <c r="J455" i="3"/>
  <c r="G455" i="3"/>
  <c r="F455" i="3"/>
  <c r="E455" i="3"/>
  <c r="D455" i="3"/>
  <c r="C455" i="3"/>
  <c r="B455" i="3"/>
  <c r="H455" i="3" s="1"/>
  <c r="A455" i="3"/>
  <c r="J454" i="3"/>
  <c r="G454" i="3"/>
  <c r="F454" i="3"/>
  <c r="E454" i="3"/>
  <c r="D454" i="3"/>
  <c r="C454" i="3"/>
  <c r="B454" i="3"/>
  <c r="H454" i="3" s="1"/>
  <c r="A454" i="3"/>
  <c r="J453" i="3"/>
  <c r="G453" i="3"/>
  <c r="F453" i="3"/>
  <c r="E453" i="3"/>
  <c r="D453" i="3"/>
  <c r="C453" i="3"/>
  <c r="B453" i="3"/>
  <c r="H453" i="3" s="1"/>
  <c r="A453" i="3"/>
  <c r="J452" i="3"/>
  <c r="G452" i="3"/>
  <c r="F452" i="3"/>
  <c r="E452" i="3"/>
  <c r="D452" i="3"/>
  <c r="C452" i="3"/>
  <c r="B452" i="3"/>
  <c r="H452" i="3" s="1"/>
  <c r="A452" i="3"/>
  <c r="G451" i="3"/>
  <c r="J451" i="3" s="1"/>
  <c r="F451" i="3"/>
  <c r="E451" i="3"/>
  <c r="D451" i="3"/>
  <c r="C451" i="3"/>
  <c r="B451" i="3"/>
  <c r="H451" i="3" s="1"/>
  <c r="A451" i="3"/>
  <c r="G450" i="3"/>
  <c r="J450" i="3" s="1"/>
  <c r="F450" i="3"/>
  <c r="E450" i="3"/>
  <c r="D450" i="3"/>
  <c r="C450" i="3"/>
  <c r="B450" i="3"/>
  <c r="A450" i="3"/>
  <c r="H449" i="3"/>
  <c r="G449" i="3"/>
  <c r="J449" i="3" s="1"/>
  <c r="F449" i="3"/>
  <c r="E449" i="3"/>
  <c r="D449" i="3"/>
  <c r="C449" i="3"/>
  <c r="B449" i="3"/>
  <c r="A449" i="3"/>
  <c r="J448" i="3"/>
  <c r="H448" i="3"/>
  <c r="G448" i="3"/>
  <c r="F448" i="3"/>
  <c r="E448" i="3"/>
  <c r="D448" i="3"/>
  <c r="C448" i="3"/>
  <c r="B448" i="3"/>
  <c r="A448" i="3"/>
  <c r="H447" i="3"/>
  <c r="G447" i="3"/>
  <c r="J447" i="3" s="1"/>
  <c r="F447" i="3"/>
  <c r="E447" i="3"/>
  <c r="D447" i="3"/>
  <c r="C447" i="3"/>
  <c r="B447" i="3"/>
  <c r="A447" i="3"/>
  <c r="J446" i="3"/>
  <c r="G446" i="3"/>
  <c r="F446" i="3"/>
  <c r="E446" i="3"/>
  <c r="D446" i="3"/>
  <c r="C446" i="3"/>
  <c r="H446" i="3" s="1"/>
  <c r="B446" i="3"/>
  <c r="A446" i="3"/>
  <c r="G445" i="3"/>
  <c r="J445" i="3" s="1"/>
  <c r="F445" i="3"/>
  <c r="E445" i="3"/>
  <c r="D445" i="3"/>
  <c r="C445" i="3"/>
  <c r="B445" i="3"/>
  <c r="H445" i="3" s="1"/>
  <c r="A445" i="3"/>
  <c r="J444" i="3"/>
  <c r="H444" i="3"/>
  <c r="G444" i="3"/>
  <c r="F444" i="3"/>
  <c r="E444" i="3"/>
  <c r="D444" i="3"/>
  <c r="C444" i="3"/>
  <c r="B444" i="3"/>
  <c r="A444" i="3"/>
  <c r="J443" i="3"/>
  <c r="G443" i="3"/>
  <c r="F443" i="3"/>
  <c r="E443" i="3"/>
  <c r="D443" i="3"/>
  <c r="C443" i="3"/>
  <c r="B443" i="3"/>
  <c r="A443" i="3"/>
  <c r="H442" i="3"/>
  <c r="G442" i="3"/>
  <c r="J442" i="3" s="1"/>
  <c r="F442" i="3"/>
  <c r="E442" i="3"/>
  <c r="D442" i="3"/>
  <c r="C442" i="3"/>
  <c r="B442" i="3"/>
  <c r="A442" i="3"/>
  <c r="J441" i="3"/>
  <c r="G441" i="3"/>
  <c r="F441" i="3"/>
  <c r="E441" i="3"/>
  <c r="D441" i="3"/>
  <c r="C441" i="3"/>
  <c r="H441" i="3" s="1"/>
  <c r="B441" i="3"/>
  <c r="A441" i="3"/>
  <c r="G440" i="3"/>
  <c r="J440" i="3" s="1"/>
  <c r="F440" i="3"/>
  <c r="E440" i="3"/>
  <c r="D440" i="3"/>
  <c r="C440" i="3"/>
  <c r="B440" i="3"/>
  <c r="H440" i="3" s="1"/>
  <c r="A440" i="3"/>
  <c r="H439" i="3"/>
  <c r="G439" i="3"/>
  <c r="J439" i="3" s="1"/>
  <c r="F439" i="3"/>
  <c r="E439" i="3"/>
  <c r="D439" i="3"/>
  <c r="C439" i="3"/>
  <c r="B439" i="3"/>
  <c r="A439" i="3"/>
  <c r="J438" i="3"/>
  <c r="H438" i="3"/>
  <c r="G438" i="3"/>
  <c r="F438" i="3"/>
  <c r="E438" i="3"/>
  <c r="D438" i="3"/>
  <c r="C438" i="3"/>
  <c r="B438" i="3"/>
  <c r="A438" i="3"/>
  <c r="J437" i="3"/>
  <c r="G437" i="3"/>
  <c r="F437" i="3"/>
  <c r="E437" i="3"/>
  <c r="D437" i="3"/>
  <c r="C437" i="3"/>
  <c r="B437" i="3"/>
  <c r="H437" i="3" s="1"/>
  <c r="A437" i="3"/>
  <c r="J436" i="3"/>
  <c r="H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A435" i="3"/>
  <c r="H434" i="3"/>
  <c r="G434" i="3"/>
  <c r="J434" i="3" s="1"/>
  <c r="F434" i="3"/>
  <c r="E434" i="3"/>
  <c r="D434" i="3"/>
  <c r="C434" i="3"/>
  <c r="B434" i="3"/>
  <c r="A434" i="3"/>
  <c r="J433" i="3"/>
  <c r="G433" i="3"/>
  <c r="F433" i="3"/>
  <c r="E433" i="3"/>
  <c r="D433" i="3"/>
  <c r="C433" i="3"/>
  <c r="H433" i="3" s="1"/>
  <c r="B433" i="3"/>
  <c r="A433" i="3"/>
  <c r="J432" i="3"/>
  <c r="G432" i="3"/>
  <c r="F432" i="3"/>
  <c r="E432" i="3"/>
  <c r="D432" i="3"/>
  <c r="C432" i="3"/>
  <c r="B432" i="3"/>
  <c r="H432" i="3" s="1"/>
  <c r="A432" i="3"/>
  <c r="J431" i="3"/>
  <c r="G431" i="3"/>
  <c r="F431" i="3"/>
  <c r="E431" i="3"/>
  <c r="D431" i="3"/>
  <c r="C431" i="3"/>
  <c r="B431" i="3"/>
  <c r="H431" i="3" s="1"/>
  <c r="A431" i="3"/>
  <c r="G430" i="3"/>
  <c r="J430" i="3" s="1"/>
  <c r="F430" i="3"/>
  <c r="E430" i="3"/>
  <c r="D430" i="3"/>
  <c r="C430" i="3"/>
  <c r="B430" i="3"/>
  <c r="A430" i="3"/>
  <c r="H429" i="3"/>
  <c r="G429" i="3"/>
  <c r="J429" i="3" s="1"/>
  <c r="F429" i="3"/>
  <c r="E429" i="3"/>
  <c r="D429" i="3"/>
  <c r="C429" i="3"/>
  <c r="B429" i="3"/>
  <c r="A429" i="3"/>
  <c r="J428" i="3"/>
  <c r="H428" i="3"/>
  <c r="G428" i="3"/>
  <c r="F428" i="3"/>
  <c r="E428" i="3"/>
  <c r="D428" i="3"/>
  <c r="C428" i="3"/>
  <c r="B428" i="3"/>
  <c r="A428" i="3"/>
  <c r="G427" i="3"/>
  <c r="J427" i="3" s="1"/>
  <c r="F427" i="3"/>
  <c r="E427" i="3"/>
  <c r="D427" i="3"/>
  <c r="C427" i="3"/>
  <c r="B427" i="3"/>
  <c r="A427" i="3"/>
  <c r="H426" i="3"/>
  <c r="G426" i="3"/>
  <c r="J426" i="3" s="1"/>
  <c r="F426" i="3"/>
  <c r="E426" i="3"/>
  <c r="D426" i="3"/>
  <c r="C426" i="3"/>
  <c r="B426" i="3"/>
  <c r="A426" i="3"/>
  <c r="H425" i="3"/>
  <c r="G425" i="3"/>
  <c r="J425" i="3" s="1"/>
  <c r="F425" i="3"/>
  <c r="E425" i="3"/>
  <c r="D425" i="3"/>
  <c r="C425" i="3"/>
  <c r="B425" i="3"/>
  <c r="A425" i="3"/>
  <c r="J424" i="3"/>
  <c r="H424" i="3"/>
  <c r="G424" i="3"/>
  <c r="F424" i="3"/>
  <c r="E424" i="3"/>
  <c r="D424" i="3"/>
  <c r="C424" i="3"/>
  <c r="B424" i="3"/>
  <c r="A424" i="3"/>
  <c r="G423" i="3"/>
  <c r="J423" i="3" s="1"/>
  <c r="F423" i="3"/>
  <c r="E423" i="3"/>
  <c r="D423" i="3"/>
  <c r="C423" i="3"/>
  <c r="B423" i="3"/>
  <c r="H423" i="3" s="1"/>
  <c r="A423" i="3"/>
  <c r="J422" i="3"/>
  <c r="H422" i="3"/>
  <c r="G422" i="3"/>
  <c r="F422" i="3"/>
  <c r="E422" i="3"/>
  <c r="D422" i="3"/>
  <c r="C422" i="3"/>
  <c r="B422" i="3"/>
  <c r="A422" i="3"/>
  <c r="J421" i="3"/>
  <c r="G421" i="3"/>
  <c r="F421" i="3"/>
  <c r="E421" i="3"/>
  <c r="D421" i="3"/>
  <c r="C421" i="3"/>
  <c r="B421" i="3"/>
  <c r="A421" i="3"/>
  <c r="J420" i="3"/>
  <c r="G420" i="3"/>
  <c r="F420" i="3"/>
  <c r="E420" i="3"/>
  <c r="D420" i="3"/>
  <c r="C420" i="3"/>
  <c r="B420" i="3"/>
  <c r="A420" i="3"/>
  <c r="G419" i="3"/>
  <c r="J419" i="3" s="1"/>
  <c r="F419" i="3"/>
  <c r="E419" i="3"/>
  <c r="D419" i="3"/>
  <c r="C419" i="3"/>
  <c r="B419" i="3"/>
  <c r="H419" i="3" s="1"/>
  <c r="A419" i="3"/>
  <c r="G418" i="3"/>
  <c r="J418" i="3" s="1"/>
  <c r="F418" i="3"/>
  <c r="E418" i="3"/>
  <c r="D418" i="3"/>
  <c r="C418" i="3"/>
  <c r="B418" i="3"/>
  <c r="A418" i="3"/>
  <c r="H417" i="3"/>
  <c r="G417" i="3"/>
  <c r="J417" i="3" s="1"/>
  <c r="F417" i="3"/>
  <c r="E417" i="3"/>
  <c r="D417" i="3"/>
  <c r="C417" i="3"/>
  <c r="B417" i="3"/>
  <c r="A417" i="3"/>
  <c r="H416" i="3"/>
  <c r="G416" i="3"/>
  <c r="J416" i="3" s="1"/>
  <c r="F416" i="3"/>
  <c r="E416" i="3"/>
  <c r="D416" i="3"/>
  <c r="C416" i="3"/>
  <c r="B416" i="3"/>
  <c r="A416" i="3"/>
  <c r="J415" i="3"/>
  <c r="H415" i="3"/>
  <c r="G415" i="3"/>
  <c r="F415" i="3"/>
  <c r="E415" i="3"/>
  <c r="D415" i="3"/>
  <c r="C415" i="3"/>
  <c r="B415" i="3"/>
  <c r="A415" i="3"/>
  <c r="G414" i="3"/>
  <c r="J414" i="3" s="1"/>
  <c r="F414" i="3"/>
  <c r="E414" i="3"/>
  <c r="D414" i="3"/>
  <c r="C414" i="3"/>
  <c r="B414" i="3"/>
  <c r="A414" i="3"/>
  <c r="H413" i="3"/>
  <c r="G413" i="3"/>
  <c r="J413" i="3" s="1"/>
  <c r="F413" i="3"/>
  <c r="E413" i="3"/>
  <c r="D413" i="3"/>
  <c r="C413" i="3"/>
  <c r="B413" i="3"/>
  <c r="A413" i="3"/>
  <c r="J412" i="3"/>
  <c r="H412" i="3"/>
  <c r="G412" i="3"/>
  <c r="F412" i="3"/>
  <c r="E412" i="3"/>
  <c r="D412" i="3"/>
  <c r="C412" i="3"/>
  <c r="B412" i="3"/>
  <c r="A412" i="3"/>
  <c r="J411" i="3"/>
  <c r="G411" i="3"/>
  <c r="F411" i="3"/>
  <c r="E411" i="3"/>
  <c r="D411" i="3"/>
  <c r="C411" i="3"/>
  <c r="B411" i="3"/>
  <c r="A411" i="3"/>
  <c r="H410" i="3"/>
  <c r="G410" i="3"/>
  <c r="J410" i="3" s="1"/>
  <c r="F410" i="3"/>
  <c r="E410" i="3"/>
  <c r="D410" i="3"/>
  <c r="C410" i="3"/>
  <c r="B410" i="3"/>
  <c r="A410" i="3"/>
  <c r="J409" i="3"/>
  <c r="G409" i="3"/>
  <c r="F409" i="3"/>
  <c r="E409" i="3"/>
  <c r="D409" i="3"/>
  <c r="C409" i="3"/>
  <c r="H409" i="3" s="1"/>
  <c r="B409" i="3"/>
  <c r="A409" i="3"/>
  <c r="G408" i="3"/>
  <c r="J408" i="3" s="1"/>
  <c r="F408" i="3"/>
  <c r="E408" i="3"/>
  <c r="D408" i="3"/>
  <c r="C408" i="3"/>
  <c r="B408" i="3"/>
  <c r="H408" i="3" s="1"/>
  <c r="A408" i="3"/>
  <c r="H407" i="3"/>
  <c r="G407" i="3"/>
  <c r="J407" i="3" s="1"/>
  <c r="F407" i="3"/>
  <c r="E407" i="3"/>
  <c r="D407" i="3"/>
  <c r="C407" i="3"/>
  <c r="B407" i="3"/>
  <c r="A407" i="3"/>
  <c r="J406" i="3"/>
  <c r="H406" i="3"/>
  <c r="G406" i="3"/>
  <c r="F406" i="3"/>
  <c r="E406" i="3"/>
  <c r="D406" i="3"/>
  <c r="C406" i="3"/>
  <c r="B406" i="3"/>
  <c r="A406" i="3"/>
  <c r="J405" i="3"/>
  <c r="G405" i="3"/>
  <c r="F405" i="3"/>
  <c r="E405" i="3"/>
  <c r="D405" i="3"/>
  <c r="C405" i="3"/>
  <c r="B405" i="3"/>
  <c r="H405" i="3" s="1"/>
  <c r="A405" i="3"/>
  <c r="J404" i="3"/>
  <c r="G404" i="3"/>
  <c r="F404" i="3"/>
  <c r="E404" i="3"/>
  <c r="D404" i="3"/>
  <c r="C404" i="3"/>
  <c r="B404" i="3"/>
  <c r="H404" i="3" s="1"/>
  <c r="A404" i="3"/>
  <c r="J403" i="3"/>
  <c r="G403" i="3"/>
  <c r="F403" i="3"/>
  <c r="E403" i="3"/>
  <c r="D403" i="3"/>
  <c r="C403" i="3"/>
  <c r="B403" i="3"/>
  <c r="H403" i="3" s="1"/>
  <c r="A403" i="3"/>
  <c r="G402" i="3"/>
  <c r="J402" i="3" s="1"/>
  <c r="F402" i="3"/>
  <c r="E402" i="3"/>
  <c r="D402" i="3"/>
  <c r="C402" i="3"/>
  <c r="B402" i="3"/>
  <c r="H402" i="3" s="1"/>
  <c r="A402" i="3"/>
  <c r="G401" i="3"/>
  <c r="J401" i="3" s="1"/>
  <c r="F401" i="3"/>
  <c r="E401" i="3"/>
  <c r="D401" i="3"/>
  <c r="C401" i="3"/>
  <c r="H401" i="3" s="1"/>
  <c r="B401" i="3"/>
  <c r="A401" i="3"/>
  <c r="J400" i="3"/>
  <c r="H400" i="3"/>
  <c r="G400" i="3"/>
  <c r="F400" i="3"/>
  <c r="E400" i="3"/>
  <c r="D400" i="3"/>
  <c r="C400" i="3"/>
  <c r="B400" i="3"/>
  <c r="A400" i="3"/>
  <c r="J399" i="3"/>
  <c r="G399" i="3"/>
  <c r="F399" i="3"/>
  <c r="E399" i="3"/>
  <c r="D399" i="3"/>
  <c r="C399" i="3"/>
  <c r="B399" i="3"/>
  <c r="H399" i="3" s="1"/>
  <c r="A399" i="3"/>
  <c r="G398" i="3"/>
  <c r="J398" i="3" s="1"/>
  <c r="F398" i="3"/>
  <c r="E398" i="3"/>
  <c r="D398" i="3"/>
  <c r="C398" i="3"/>
  <c r="B398" i="3"/>
  <c r="A398" i="3"/>
  <c r="G397" i="3"/>
  <c r="J397" i="3" s="1"/>
  <c r="F397" i="3"/>
  <c r="E397" i="3"/>
  <c r="D397" i="3"/>
  <c r="C397" i="3"/>
  <c r="H397" i="3" s="1"/>
  <c r="B397" i="3"/>
  <c r="A397" i="3"/>
  <c r="J396" i="3"/>
  <c r="H396" i="3"/>
  <c r="G396" i="3"/>
  <c r="F396" i="3"/>
  <c r="E396" i="3"/>
  <c r="D396" i="3"/>
  <c r="C396" i="3"/>
  <c r="B396" i="3"/>
  <c r="A396" i="3"/>
  <c r="J395" i="3"/>
  <c r="G395" i="3"/>
  <c r="F395" i="3"/>
  <c r="E395" i="3"/>
  <c r="D395" i="3"/>
  <c r="C395" i="3"/>
  <c r="B395" i="3"/>
  <c r="A395" i="3"/>
  <c r="H394" i="3"/>
  <c r="G394" i="3"/>
  <c r="J394" i="3" s="1"/>
  <c r="F394" i="3"/>
  <c r="E394" i="3"/>
  <c r="D394" i="3"/>
  <c r="C394" i="3"/>
  <c r="B394" i="3"/>
  <c r="A394" i="3"/>
  <c r="J393" i="3"/>
  <c r="H393" i="3"/>
  <c r="G393" i="3"/>
  <c r="F393" i="3"/>
  <c r="E393" i="3"/>
  <c r="D393" i="3"/>
  <c r="C393" i="3"/>
  <c r="B393" i="3"/>
  <c r="A393" i="3"/>
  <c r="J392" i="3"/>
  <c r="G392" i="3"/>
  <c r="F392" i="3"/>
  <c r="E392" i="3"/>
  <c r="D392" i="3"/>
  <c r="C392" i="3"/>
  <c r="B392" i="3"/>
  <c r="H392" i="3" s="1"/>
  <c r="A392" i="3"/>
  <c r="H391" i="3"/>
  <c r="G391" i="3"/>
  <c r="J391" i="3" s="1"/>
  <c r="F391" i="3"/>
  <c r="E391" i="3"/>
  <c r="D391" i="3"/>
  <c r="C391" i="3"/>
  <c r="B391" i="3"/>
  <c r="A391" i="3"/>
  <c r="J390" i="3"/>
  <c r="G390" i="3"/>
  <c r="F390" i="3"/>
  <c r="E390" i="3"/>
  <c r="D390" i="3"/>
  <c r="C390" i="3"/>
  <c r="H390" i="3" s="1"/>
  <c r="B390" i="3"/>
  <c r="A390" i="3"/>
  <c r="J389" i="3"/>
  <c r="G389" i="3"/>
  <c r="F389" i="3"/>
  <c r="E389" i="3"/>
  <c r="D389" i="3"/>
  <c r="C389" i="3"/>
  <c r="B389" i="3"/>
  <c r="A389" i="3"/>
  <c r="J388" i="3"/>
  <c r="G388" i="3"/>
  <c r="F388" i="3"/>
  <c r="E388" i="3"/>
  <c r="D388" i="3"/>
  <c r="C388" i="3"/>
  <c r="B388" i="3"/>
  <c r="A388" i="3"/>
  <c r="G387" i="3"/>
  <c r="J387" i="3" s="1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A386" i="3"/>
  <c r="G385" i="3"/>
  <c r="J385" i="3" s="1"/>
  <c r="F385" i="3"/>
  <c r="E385" i="3"/>
  <c r="D385" i="3"/>
  <c r="C385" i="3"/>
  <c r="H385" i="3" s="1"/>
  <c r="B385" i="3"/>
  <c r="A385" i="3"/>
  <c r="H384" i="3"/>
  <c r="G384" i="3"/>
  <c r="J384" i="3" s="1"/>
  <c r="F384" i="3"/>
  <c r="E384" i="3"/>
  <c r="D384" i="3"/>
  <c r="C384" i="3"/>
  <c r="B384" i="3"/>
  <c r="A384" i="3"/>
  <c r="J383" i="3"/>
  <c r="H383" i="3"/>
  <c r="G383" i="3"/>
  <c r="F383" i="3"/>
  <c r="E383" i="3"/>
  <c r="D383" i="3"/>
  <c r="C383" i="3"/>
  <c r="B383" i="3"/>
  <c r="A383" i="3"/>
  <c r="J382" i="3"/>
  <c r="G382" i="3"/>
  <c r="F382" i="3"/>
  <c r="E382" i="3"/>
  <c r="D382" i="3"/>
  <c r="C382" i="3"/>
  <c r="B382" i="3"/>
  <c r="H382" i="3" s="1"/>
  <c r="A382" i="3"/>
  <c r="H381" i="3"/>
  <c r="G381" i="3"/>
  <c r="J381" i="3" s="1"/>
  <c r="F381" i="3"/>
  <c r="E381" i="3"/>
  <c r="D381" i="3"/>
  <c r="C381" i="3"/>
  <c r="B381" i="3"/>
  <c r="A381" i="3"/>
  <c r="J380" i="3"/>
  <c r="H380" i="3"/>
  <c r="G380" i="3"/>
  <c r="F380" i="3"/>
  <c r="E380" i="3"/>
  <c r="D380" i="3"/>
  <c r="C380" i="3"/>
  <c r="B380" i="3"/>
  <c r="A380" i="3"/>
  <c r="J379" i="3"/>
  <c r="G379" i="3"/>
  <c r="F379" i="3"/>
  <c r="E379" i="3"/>
  <c r="D379" i="3"/>
  <c r="C379" i="3"/>
  <c r="B379" i="3"/>
  <c r="A379" i="3"/>
  <c r="H378" i="3"/>
  <c r="G378" i="3"/>
  <c r="J378" i="3" s="1"/>
  <c r="F378" i="3"/>
  <c r="E378" i="3"/>
  <c r="D378" i="3"/>
  <c r="C378" i="3"/>
  <c r="B378" i="3"/>
  <c r="A378" i="3"/>
  <c r="J377" i="3"/>
  <c r="G377" i="3"/>
  <c r="F377" i="3"/>
  <c r="E377" i="3"/>
  <c r="D377" i="3"/>
  <c r="C377" i="3"/>
  <c r="H377" i="3" s="1"/>
  <c r="B377" i="3"/>
  <c r="A377" i="3"/>
  <c r="G376" i="3"/>
  <c r="J376" i="3" s="1"/>
  <c r="F376" i="3"/>
  <c r="E376" i="3"/>
  <c r="D376" i="3"/>
  <c r="C376" i="3"/>
  <c r="B376" i="3"/>
  <c r="H376" i="3" s="1"/>
  <c r="A376" i="3"/>
  <c r="H375" i="3"/>
  <c r="G375" i="3"/>
  <c r="J375" i="3" s="1"/>
  <c r="F375" i="3"/>
  <c r="E375" i="3"/>
  <c r="D375" i="3"/>
  <c r="C375" i="3"/>
  <c r="B375" i="3"/>
  <c r="A375" i="3"/>
  <c r="J374" i="3"/>
  <c r="H374" i="3"/>
  <c r="G374" i="3"/>
  <c r="F374" i="3"/>
  <c r="E374" i="3"/>
  <c r="D374" i="3"/>
  <c r="C374" i="3"/>
  <c r="B374" i="3"/>
  <c r="A374" i="3"/>
  <c r="J373" i="3"/>
  <c r="G373" i="3"/>
  <c r="F373" i="3"/>
  <c r="E373" i="3"/>
  <c r="D373" i="3"/>
  <c r="C373" i="3"/>
  <c r="B373" i="3"/>
  <c r="H373" i="3" s="1"/>
  <c r="A373" i="3"/>
  <c r="J372" i="3"/>
  <c r="G372" i="3"/>
  <c r="F372" i="3"/>
  <c r="E372" i="3"/>
  <c r="D372" i="3"/>
  <c r="C372" i="3"/>
  <c r="B372" i="3"/>
  <c r="H372" i="3" s="1"/>
  <c r="A372" i="3"/>
  <c r="J371" i="3"/>
  <c r="G371" i="3"/>
  <c r="F371" i="3"/>
  <c r="E371" i="3"/>
  <c r="D371" i="3"/>
  <c r="C371" i="3"/>
  <c r="B371" i="3"/>
  <c r="H371" i="3" s="1"/>
  <c r="A371" i="3"/>
  <c r="G370" i="3"/>
  <c r="J370" i="3" s="1"/>
  <c r="F370" i="3"/>
  <c r="E370" i="3"/>
  <c r="D370" i="3"/>
  <c r="C370" i="3"/>
  <c r="B370" i="3"/>
  <c r="H370" i="3" s="1"/>
  <c r="A370" i="3"/>
  <c r="G369" i="3"/>
  <c r="J369" i="3" s="1"/>
  <c r="F369" i="3"/>
  <c r="E369" i="3"/>
  <c r="D369" i="3"/>
  <c r="C369" i="3"/>
  <c r="H369" i="3" s="1"/>
  <c r="B369" i="3"/>
  <c r="A369" i="3"/>
  <c r="J368" i="3"/>
  <c r="H368" i="3"/>
  <c r="G368" i="3"/>
  <c r="F368" i="3"/>
  <c r="E368" i="3"/>
  <c r="D368" i="3"/>
  <c r="C368" i="3"/>
  <c r="B368" i="3"/>
  <c r="A368" i="3"/>
  <c r="J367" i="3"/>
  <c r="G367" i="3"/>
  <c r="F367" i="3"/>
  <c r="E367" i="3"/>
  <c r="D367" i="3"/>
  <c r="C367" i="3"/>
  <c r="B367" i="3"/>
  <c r="A367" i="3"/>
  <c r="G366" i="3"/>
  <c r="J366" i="3" s="1"/>
  <c r="F366" i="3"/>
  <c r="E366" i="3"/>
  <c r="D366" i="3"/>
  <c r="C366" i="3"/>
  <c r="B366" i="3"/>
  <c r="A366" i="3"/>
  <c r="G365" i="3"/>
  <c r="J365" i="3" s="1"/>
  <c r="F365" i="3"/>
  <c r="E365" i="3"/>
  <c r="D365" i="3"/>
  <c r="C365" i="3"/>
  <c r="H365" i="3" s="1"/>
  <c r="B365" i="3"/>
  <c r="A365" i="3"/>
  <c r="J364" i="3"/>
  <c r="H364" i="3"/>
  <c r="G364" i="3"/>
  <c r="F364" i="3"/>
  <c r="E364" i="3"/>
  <c r="D364" i="3"/>
  <c r="C364" i="3"/>
  <c r="B364" i="3"/>
  <c r="A364" i="3"/>
  <c r="G363" i="3"/>
  <c r="J363" i="3" s="1"/>
  <c r="F363" i="3"/>
  <c r="E363" i="3"/>
  <c r="D363" i="3"/>
  <c r="C363" i="3"/>
  <c r="B363" i="3"/>
  <c r="A363" i="3"/>
  <c r="H362" i="3"/>
  <c r="G362" i="3"/>
  <c r="J362" i="3" s="1"/>
  <c r="F362" i="3"/>
  <c r="E362" i="3"/>
  <c r="D362" i="3"/>
  <c r="C362" i="3"/>
  <c r="B362" i="3"/>
  <c r="H361" i="3"/>
  <c r="G361" i="3"/>
  <c r="J361" i="3" s="1"/>
  <c r="F361" i="3"/>
  <c r="E361" i="3"/>
  <c r="D361" i="3"/>
  <c r="C361" i="3"/>
  <c r="B361" i="3"/>
  <c r="A361" i="3"/>
  <c r="J360" i="3"/>
  <c r="H360" i="3"/>
  <c r="G360" i="3"/>
  <c r="F360" i="3"/>
  <c r="E360" i="3"/>
  <c r="D360" i="3"/>
  <c r="C360" i="3"/>
  <c r="B360" i="3"/>
  <c r="A360" i="3"/>
  <c r="G359" i="3"/>
  <c r="J359" i="3" s="1"/>
  <c r="F359" i="3"/>
  <c r="E359" i="3"/>
  <c r="D359" i="3"/>
  <c r="C359" i="3"/>
  <c r="B359" i="3"/>
  <c r="H359" i="3" s="1"/>
  <c r="A359" i="3"/>
  <c r="G358" i="3"/>
  <c r="J358" i="3" s="1"/>
  <c r="F358" i="3"/>
  <c r="E358" i="3"/>
  <c r="D358" i="3"/>
  <c r="C358" i="3"/>
  <c r="B358" i="3"/>
  <c r="H358" i="3" s="1"/>
  <c r="A358" i="3"/>
  <c r="J357" i="3"/>
  <c r="G357" i="3"/>
  <c r="F357" i="3"/>
  <c r="E357" i="3"/>
  <c r="D357" i="3"/>
  <c r="C357" i="3"/>
  <c r="H357" i="3" s="1"/>
  <c r="B357" i="3"/>
  <c r="A357" i="3"/>
  <c r="J356" i="3"/>
  <c r="G356" i="3"/>
  <c r="F356" i="3"/>
  <c r="E356" i="3"/>
  <c r="D356" i="3"/>
  <c r="C356" i="3"/>
  <c r="B356" i="3"/>
  <c r="A356" i="3"/>
  <c r="J355" i="3"/>
  <c r="G355" i="3"/>
  <c r="F355" i="3"/>
  <c r="E355" i="3"/>
  <c r="D355" i="3"/>
  <c r="C355" i="3"/>
  <c r="B355" i="3"/>
  <c r="A355" i="3"/>
  <c r="G354" i="3"/>
  <c r="J354" i="3" s="1"/>
  <c r="F354" i="3"/>
  <c r="E354" i="3"/>
  <c r="C354" i="3"/>
  <c r="B354" i="3"/>
  <c r="H354" i="3" s="1"/>
  <c r="J353" i="3"/>
  <c r="G353" i="3"/>
  <c r="F353" i="3"/>
  <c r="E353" i="3"/>
  <c r="D353" i="3"/>
  <c r="C353" i="3"/>
  <c r="H353" i="3" s="1"/>
  <c r="B353" i="3"/>
  <c r="A353" i="3"/>
  <c r="G352" i="3"/>
  <c r="J352" i="3" s="1"/>
  <c r="F352" i="3"/>
  <c r="E352" i="3"/>
  <c r="D352" i="3"/>
  <c r="C352" i="3"/>
  <c r="B352" i="3"/>
  <c r="H352" i="3" s="1"/>
  <c r="G351" i="3"/>
  <c r="J351" i="3" s="1"/>
  <c r="F351" i="3"/>
  <c r="E351" i="3"/>
  <c r="C351" i="3"/>
  <c r="B351" i="3"/>
  <c r="H351" i="3" s="1"/>
  <c r="H350" i="3"/>
  <c r="G350" i="3"/>
  <c r="J350" i="3" s="1"/>
  <c r="F350" i="3"/>
  <c r="D350" i="3"/>
  <c r="C350" i="3"/>
  <c r="B350" i="3"/>
  <c r="G349" i="3"/>
  <c r="J349" i="3" s="1"/>
  <c r="F349" i="3"/>
  <c r="E349" i="3"/>
  <c r="D349" i="3"/>
  <c r="C349" i="3"/>
  <c r="H349" i="3" s="1"/>
  <c r="B349" i="3"/>
  <c r="J348" i="3"/>
  <c r="H348" i="3"/>
  <c r="G348" i="3"/>
  <c r="F348" i="3"/>
  <c r="E348" i="3"/>
  <c r="D348" i="3"/>
  <c r="C348" i="3"/>
  <c r="B348" i="3"/>
  <c r="A348" i="3"/>
  <c r="G347" i="3"/>
  <c r="J347" i="3" s="1"/>
  <c r="F347" i="3"/>
  <c r="E347" i="3"/>
  <c r="D347" i="3"/>
  <c r="C347" i="3"/>
  <c r="B347" i="3"/>
  <c r="A347" i="3"/>
  <c r="H346" i="3"/>
  <c r="G346" i="3"/>
  <c r="J346" i="3" s="1"/>
  <c r="F346" i="3"/>
  <c r="E346" i="3"/>
  <c r="D346" i="3"/>
  <c r="C346" i="3"/>
  <c r="B346" i="3"/>
  <c r="G345" i="3"/>
  <c r="J345" i="3" s="1"/>
  <c r="F345" i="3"/>
  <c r="E345" i="3"/>
  <c r="D345" i="3"/>
  <c r="C345" i="3"/>
  <c r="H344" i="3"/>
  <c r="G344" i="3"/>
  <c r="J344" i="3" s="1"/>
  <c r="F344" i="3"/>
  <c r="E344" i="3"/>
  <c r="C344" i="3"/>
  <c r="B344" i="3"/>
  <c r="H343" i="3"/>
  <c r="G343" i="3"/>
  <c r="J343" i="3" s="1"/>
  <c r="F343" i="3"/>
  <c r="E343" i="3"/>
  <c r="C343" i="3"/>
  <c r="B343" i="3"/>
  <c r="H342" i="3"/>
  <c r="G342" i="3"/>
  <c r="J342" i="3" s="1"/>
  <c r="F342" i="3"/>
  <c r="C342" i="3"/>
  <c r="B342" i="3"/>
  <c r="J341" i="3"/>
  <c r="H341" i="3"/>
  <c r="G341" i="3"/>
  <c r="F341" i="3"/>
  <c r="E341" i="3"/>
  <c r="C341" i="3"/>
  <c r="B341" i="3"/>
  <c r="J340" i="3"/>
  <c r="G340" i="3"/>
  <c r="F340" i="3"/>
  <c r="E340" i="3"/>
  <c r="C340" i="3"/>
  <c r="B340" i="3"/>
  <c r="H340" i="3" s="1"/>
  <c r="G339" i="3"/>
  <c r="J339" i="3" s="1"/>
  <c r="F339" i="3"/>
  <c r="E339" i="3"/>
  <c r="C339" i="3"/>
  <c r="B339" i="3"/>
  <c r="H339" i="3" s="1"/>
  <c r="A339" i="3"/>
  <c r="G338" i="3"/>
  <c r="J338" i="3" s="1"/>
  <c r="F338" i="3"/>
  <c r="E338" i="3"/>
  <c r="C338" i="3"/>
  <c r="B338" i="3"/>
  <c r="H338" i="3" s="1"/>
  <c r="J337" i="3"/>
  <c r="G337" i="3"/>
  <c r="F337" i="3"/>
  <c r="E337" i="3"/>
  <c r="C337" i="3"/>
  <c r="A337" i="3"/>
  <c r="H336" i="3"/>
  <c r="G336" i="3"/>
  <c r="J336" i="3" s="1"/>
  <c r="F336" i="3"/>
  <c r="E336" i="3"/>
  <c r="C336" i="3"/>
  <c r="B336" i="3"/>
  <c r="A336" i="3"/>
  <c r="G335" i="3"/>
  <c r="J335" i="3" s="1"/>
  <c r="F335" i="3"/>
  <c r="E335" i="3"/>
  <c r="C335" i="3"/>
  <c r="H335" i="3" s="1"/>
  <c r="B335" i="3"/>
  <c r="A335" i="3"/>
  <c r="H334" i="3"/>
  <c r="G334" i="3"/>
  <c r="J334" i="3" s="1"/>
  <c r="F334" i="3"/>
  <c r="C334" i="3"/>
  <c r="B334" i="3"/>
  <c r="A334" i="3"/>
  <c r="J333" i="3"/>
  <c r="G333" i="3"/>
  <c r="F333" i="3"/>
  <c r="E333" i="3"/>
  <c r="D333" i="3"/>
  <c r="C333" i="3"/>
  <c r="B333" i="3"/>
  <c r="H333" i="3" s="1"/>
  <c r="A333" i="3"/>
  <c r="J332" i="3"/>
  <c r="G332" i="3"/>
  <c r="F332" i="3"/>
  <c r="E332" i="3"/>
  <c r="D332" i="3"/>
  <c r="C332" i="3"/>
  <c r="B332" i="3"/>
  <c r="H332" i="3" s="1"/>
  <c r="J331" i="3"/>
  <c r="G331" i="3"/>
  <c r="F331" i="3"/>
  <c r="E331" i="3"/>
  <c r="C331" i="3"/>
  <c r="B331" i="3"/>
  <c r="H331" i="3" s="1"/>
  <c r="H330" i="3"/>
  <c r="G330" i="3"/>
  <c r="J330" i="3" s="1"/>
  <c r="F330" i="3"/>
  <c r="E330" i="3"/>
  <c r="D330" i="3"/>
  <c r="C330" i="3"/>
  <c r="B330" i="3"/>
  <c r="J329" i="3"/>
  <c r="G329" i="3"/>
  <c r="F329" i="3"/>
  <c r="E329" i="3"/>
  <c r="D329" i="3"/>
  <c r="C329" i="3"/>
  <c r="A329" i="3"/>
  <c r="J328" i="3"/>
  <c r="G328" i="3"/>
  <c r="F328" i="3"/>
  <c r="E328" i="3"/>
  <c r="D328" i="3"/>
  <c r="B328" i="3"/>
  <c r="A328" i="3"/>
  <c r="J327" i="3"/>
  <c r="G327" i="3"/>
  <c r="F327" i="3"/>
  <c r="E327" i="3"/>
  <c r="C327" i="3"/>
  <c r="H327" i="3" s="1"/>
  <c r="B327" i="3"/>
  <c r="A327" i="3"/>
  <c r="J326" i="3"/>
  <c r="G326" i="3"/>
  <c r="F326" i="3"/>
  <c r="C326" i="3"/>
  <c r="B326" i="3"/>
  <c r="H326" i="3" s="1"/>
  <c r="A326" i="3"/>
  <c r="J325" i="3"/>
  <c r="G325" i="3"/>
  <c r="F325" i="3"/>
  <c r="E325" i="3"/>
  <c r="D325" i="3"/>
  <c r="C325" i="3"/>
  <c r="H325" i="3" s="1"/>
  <c r="B325" i="3"/>
  <c r="J324" i="3"/>
  <c r="G324" i="3"/>
  <c r="F324" i="3"/>
  <c r="E324" i="3"/>
  <c r="C324" i="3"/>
  <c r="B324" i="3"/>
  <c r="H324" i="3" s="1"/>
  <c r="J323" i="3"/>
  <c r="G323" i="3"/>
  <c r="F323" i="3"/>
  <c r="E323" i="3"/>
  <c r="C323" i="3"/>
  <c r="B323" i="3"/>
  <c r="H323" i="3" s="1"/>
  <c r="G322" i="3"/>
  <c r="J322" i="3" s="1"/>
  <c r="F322" i="3"/>
  <c r="E322" i="3"/>
  <c r="C322" i="3"/>
  <c r="B322" i="3"/>
  <c r="J321" i="3"/>
  <c r="G321" i="3"/>
  <c r="F321" i="3"/>
  <c r="E321" i="3"/>
  <c r="C321" i="3"/>
  <c r="A321" i="3"/>
  <c r="J320" i="3"/>
  <c r="G320" i="3"/>
  <c r="F320" i="3"/>
  <c r="E320" i="3"/>
  <c r="B320" i="3"/>
  <c r="A320" i="3"/>
  <c r="J319" i="3"/>
  <c r="G319" i="3"/>
  <c r="F319" i="3"/>
  <c r="E319" i="3"/>
  <c r="C319" i="3"/>
  <c r="B319" i="3"/>
  <c r="J318" i="3"/>
  <c r="G318" i="3"/>
  <c r="F318" i="3"/>
  <c r="C318" i="3"/>
  <c r="B318" i="3"/>
  <c r="H318" i="3" s="1"/>
  <c r="A318" i="3"/>
  <c r="J317" i="3"/>
  <c r="G317" i="3"/>
  <c r="F317" i="3"/>
  <c r="E317" i="3"/>
  <c r="C317" i="3"/>
  <c r="B317" i="3"/>
  <c r="H317" i="3" s="1"/>
  <c r="A317" i="3"/>
  <c r="J316" i="3"/>
  <c r="G316" i="3"/>
  <c r="F316" i="3"/>
  <c r="E316" i="3"/>
  <c r="C316" i="3"/>
  <c r="B316" i="3"/>
  <c r="H316" i="3" s="1"/>
  <c r="G315" i="3"/>
  <c r="J315" i="3" s="1"/>
  <c r="F315" i="3"/>
  <c r="E315" i="3"/>
  <c r="C315" i="3"/>
  <c r="B315" i="3"/>
  <c r="G314" i="3"/>
  <c r="J314" i="3" s="1"/>
  <c r="F314" i="3"/>
  <c r="E314" i="3"/>
  <c r="C314" i="3"/>
  <c r="B314" i="3"/>
  <c r="G313" i="3"/>
  <c r="J313" i="3" s="1"/>
  <c r="F313" i="3"/>
  <c r="E313" i="3"/>
  <c r="C313" i="3"/>
  <c r="G312" i="3"/>
  <c r="J312" i="3" s="1"/>
  <c r="F312" i="3"/>
  <c r="E312" i="3"/>
  <c r="B312" i="3"/>
  <c r="A312" i="3"/>
  <c r="G311" i="3"/>
  <c r="J311" i="3" s="1"/>
  <c r="F311" i="3"/>
  <c r="E311" i="3"/>
  <c r="C311" i="3"/>
  <c r="B311" i="3"/>
  <c r="G310" i="3"/>
  <c r="J310" i="3" s="1"/>
  <c r="F310" i="3"/>
  <c r="C310" i="3"/>
  <c r="B310" i="3"/>
  <c r="H310" i="3" s="1"/>
  <c r="A310" i="3"/>
  <c r="G309" i="3"/>
  <c r="J309" i="3" s="1"/>
  <c r="F309" i="3"/>
  <c r="E309" i="3"/>
  <c r="C309" i="3"/>
  <c r="B309" i="3"/>
  <c r="J308" i="3"/>
  <c r="H308" i="3"/>
  <c r="G308" i="3"/>
  <c r="F308" i="3"/>
  <c r="E308" i="3"/>
  <c r="C308" i="3"/>
  <c r="B308" i="3"/>
  <c r="J307" i="3"/>
  <c r="G307" i="3"/>
  <c r="F307" i="3"/>
  <c r="E307" i="3"/>
  <c r="C307" i="3"/>
  <c r="B307" i="3"/>
  <c r="G306" i="3"/>
  <c r="J306" i="3" s="1"/>
  <c r="F306" i="3"/>
  <c r="E306" i="3"/>
  <c r="C306" i="3"/>
  <c r="H306" i="3" s="1"/>
  <c r="B306" i="3"/>
  <c r="G305" i="3"/>
  <c r="J305" i="3" s="1"/>
  <c r="F305" i="3"/>
  <c r="E305" i="3"/>
  <c r="D305" i="3"/>
  <c r="C305" i="3"/>
  <c r="G304" i="3"/>
  <c r="J304" i="3" s="1"/>
  <c r="F304" i="3"/>
  <c r="E304" i="3"/>
  <c r="B304" i="3"/>
  <c r="H303" i="3"/>
  <c r="G303" i="3"/>
  <c r="J303" i="3" s="1"/>
  <c r="F303" i="3"/>
  <c r="E303" i="3"/>
  <c r="C303" i="3"/>
  <c r="B303" i="3"/>
  <c r="H302" i="3"/>
  <c r="G302" i="3"/>
  <c r="J302" i="3" s="1"/>
  <c r="F302" i="3"/>
  <c r="C302" i="3"/>
  <c r="B302" i="3"/>
  <c r="G301" i="3"/>
  <c r="J301" i="3" s="1"/>
  <c r="F301" i="3"/>
  <c r="E301" i="3"/>
  <c r="C301" i="3"/>
  <c r="H301" i="3" s="1"/>
  <c r="B301" i="3"/>
  <c r="J300" i="3"/>
  <c r="H300" i="3"/>
  <c r="G300" i="3"/>
  <c r="F300" i="3"/>
  <c r="E300" i="3"/>
  <c r="C300" i="3"/>
  <c r="B300" i="3"/>
  <c r="J299" i="3"/>
  <c r="G299" i="3"/>
  <c r="F299" i="3"/>
  <c r="E299" i="3"/>
  <c r="C299" i="3"/>
  <c r="B299" i="3"/>
  <c r="H298" i="3"/>
  <c r="G298" i="3"/>
  <c r="J298" i="3" s="1"/>
  <c r="F298" i="3"/>
  <c r="E298" i="3"/>
  <c r="C298" i="3"/>
  <c r="B298" i="3"/>
  <c r="J297" i="3"/>
  <c r="G297" i="3"/>
  <c r="F297" i="3"/>
  <c r="E297" i="3"/>
  <c r="C297" i="3"/>
  <c r="G296" i="3"/>
  <c r="J296" i="3" s="1"/>
  <c r="F296" i="3"/>
  <c r="E296" i="3"/>
  <c r="B296" i="3"/>
  <c r="G295" i="3"/>
  <c r="J295" i="3" s="1"/>
  <c r="F295" i="3"/>
  <c r="E295" i="3"/>
  <c r="C295" i="3"/>
  <c r="H295" i="3" s="1"/>
  <c r="B295" i="3"/>
  <c r="J294" i="3"/>
  <c r="H294" i="3"/>
  <c r="G294" i="3"/>
  <c r="F294" i="3"/>
  <c r="C294" i="3"/>
  <c r="B294" i="3"/>
  <c r="J293" i="3"/>
  <c r="H293" i="3"/>
  <c r="G293" i="3"/>
  <c r="F293" i="3"/>
  <c r="E293" i="3"/>
  <c r="C293" i="3"/>
  <c r="B293" i="3"/>
  <c r="A293" i="3"/>
  <c r="J292" i="3"/>
  <c r="G292" i="3"/>
  <c r="F292" i="3"/>
  <c r="E292" i="3"/>
  <c r="C292" i="3"/>
  <c r="B292" i="3"/>
  <c r="H292" i="3" s="1"/>
  <c r="A292" i="3"/>
  <c r="J291" i="3"/>
  <c r="G291" i="3"/>
  <c r="F291" i="3"/>
  <c r="E291" i="3"/>
  <c r="C291" i="3"/>
  <c r="B291" i="3"/>
  <c r="H291" i="3" s="1"/>
  <c r="H290" i="3"/>
  <c r="G290" i="3"/>
  <c r="J290" i="3" s="1"/>
  <c r="F290" i="3"/>
  <c r="E290" i="3"/>
  <c r="C290" i="3"/>
  <c r="B290" i="3"/>
  <c r="G289" i="3"/>
  <c r="J289" i="3" s="1"/>
  <c r="F289" i="3"/>
  <c r="E289" i="3"/>
  <c r="C289" i="3"/>
  <c r="G288" i="3"/>
  <c r="J288" i="3" s="1"/>
  <c r="F288" i="3"/>
  <c r="E288" i="3"/>
  <c r="B288" i="3"/>
  <c r="J287" i="3"/>
  <c r="H287" i="3"/>
  <c r="G287" i="3"/>
  <c r="F287" i="3"/>
  <c r="E287" i="3"/>
  <c r="C287" i="3"/>
  <c r="B287" i="3"/>
  <c r="J286" i="3"/>
  <c r="H286" i="3"/>
  <c r="G286" i="3"/>
  <c r="F286" i="3"/>
  <c r="C286" i="3"/>
  <c r="B286" i="3"/>
  <c r="J285" i="3"/>
  <c r="H285" i="3"/>
  <c r="G285" i="3"/>
  <c r="F285" i="3"/>
  <c r="E285" i="3"/>
  <c r="C285" i="3"/>
  <c r="B285" i="3"/>
  <c r="J284" i="3"/>
  <c r="G284" i="3"/>
  <c r="F284" i="3"/>
  <c r="E284" i="3"/>
  <c r="C284" i="3"/>
  <c r="B284" i="3"/>
  <c r="H284" i="3" s="1"/>
  <c r="J283" i="3"/>
  <c r="G283" i="3"/>
  <c r="F283" i="3"/>
  <c r="E283" i="3"/>
  <c r="C283" i="3"/>
  <c r="B283" i="3"/>
  <c r="G282" i="3"/>
  <c r="J282" i="3" s="1"/>
  <c r="F282" i="3"/>
  <c r="E282" i="3"/>
  <c r="C282" i="3"/>
  <c r="B282" i="3"/>
  <c r="H282" i="3" s="1"/>
  <c r="J281" i="3"/>
  <c r="G281" i="3"/>
  <c r="F281" i="3"/>
  <c r="E281" i="3"/>
  <c r="C281" i="3"/>
  <c r="J280" i="3"/>
  <c r="G280" i="3"/>
  <c r="F280" i="3"/>
  <c r="E280" i="3"/>
  <c r="B280" i="3"/>
  <c r="G279" i="3"/>
  <c r="J279" i="3" s="1"/>
  <c r="F279" i="3"/>
  <c r="E279" i="3"/>
  <c r="C279" i="3"/>
  <c r="B279" i="3"/>
  <c r="H279" i="3" s="1"/>
  <c r="J278" i="3"/>
  <c r="H278" i="3"/>
  <c r="G278" i="3"/>
  <c r="F278" i="3"/>
  <c r="C278" i="3"/>
  <c r="B278" i="3"/>
  <c r="G277" i="3"/>
  <c r="J277" i="3" s="1"/>
  <c r="F277" i="3"/>
  <c r="E277" i="3"/>
  <c r="C277" i="3"/>
  <c r="B277" i="3"/>
  <c r="H277" i="3" s="1"/>
  <c r="J276" i="3"/>
  <c r="G276" i="3"/>
  <c r="F276" i="3"/>
  <c r="E276" i="3"/>
  <c r="C276" i="3"/>
  <c r="B276" i="3"/>
  <c r="H276" i="3" s="1"/>
  <c r="G275" i="3"/>
  <c r="J275" i="3" s="1"/>
  <c r="F275" i="3"/>
  <c r="E275" i="3"/>
  <c r="C275" i="3"/>
  <c r="B275" i="3"/>
  <c r="H275" i="3" s="1"/>
  <c r="H274" i="3"/>
  <c r="G274" i="3"/>
  <c r="J274" i="3" s="1"/>
  <c r="F274" i="3"/>
  <c r="E274" i="3"/>
  <c r="C274" i="3"/>
  <c r="B274" i="3"/>
  <c r="G273" i="3"/>
  <c r="J273" i="3" s="1"/>
  <c r="F273" i="3"/>
  <c r="E273" i="3"/>
  <c r="C273" i="3"/>
  <c r="G272" i="3"/>
  <c r="J272" i="3" s="1"/>
  <c r="F272" i="3"/>
  <c r="E272" i="3"/>
  <c r="B272" i="3"/>
  <c r="A272" i="3"/>
  <c r="G271" i="3"/>
  <c r="J271" i="3" s="1"/>
  <c r="F271" i="3"/>
  <c r="E271" i="3"/>
  <c r="C271" i="3"/>
  <c r="B271" i="3"/>
  <c r="H271" i="3" s="1"/>
  <c r="A271" i="3"/>
  <c r="G270" i="3"/>
  <c r="J270" i="3" s="1"/>
  <c r="F270" i="3"/>
  <c r="C270" i="3"/>
  <c r="H270" i="3" s="1"/>
  <c r="B270" i="3"/>
  <c r="G269" i="3"/>
  <c r="J269" i="3" s="1"/>
  <c r="F269" i="3"/>
  <c r="E269" i="3"/>
  <c r="C269" i="3"/>
  <c r="B269" i="3"/>
  <c r="H269" i="3" s="1"/>
  <c r="F268" i="3"/>
  <c r="E268" i="3"/>
  <c r="C268" i="3"/>
  <c r="B268" i="3"/>
  <c r="H268" i="3" s="1"/>
  <c r="A268" i="3"/>
  <c r="G267" i="3"/>
  <c r="J267" i="3" s="1"/>
  <c r="F267" i="3"/>
  <c r="E267" i="3"/>
  <c r="C267" i="3"/>
  <c r="B267" i="3"/>
  <c r="H267" i="3" s="1"/>
  <c r="A267" i="3"/>
  <c r="G266" i="3"/>
  <c r="J266" i="3" s="1"/>
  <c r="F266" i="3"/>
  <c r="E266" i="3"/>
  <c r="C266" i="3"/>
  <c r="B266" i="3"/>
  <c r="H266" i="3" s="1"/>
  <c r="G265" i="3"/>
  <c r="J265" i="3" s="1"/>
  <c r="F265" i="3"/>
  <c r="E265" i="3"/>
  <c r="C265" i="3"/>
  <c r="A265" i="3"/>
  <c r="G264" i="3"/>
  <c r="J264" i="3" s="1"/>
  <c r="F264" i="3"/>
  <c r="E264" i="3"/>
  <c r="B264" i="3"/>
  <c r="A264" i="3"/>
  <c r="J263" i="3"/>
  <c r="G263" i="3"/>
  <c r="F263" i="3"/>
  <c r="E263" i="3"/>
  <c r="C263" i="3"/>
  <c r="B263" i="3"/>
  <c r="G262" i="3"/>
  <c r="J262" i="3" s="1"/>
  <c r="F262" i="3"/>
  <c r="C262" i="3"/>
  <c r="B262" i="3"/>
  <c r="H262" i="3" s="1"/>
  <c r="J261" i="3"/>
  <c r="G261" i="3"/>
  <c r="F261" i="3"/>
  <c r="E261" i="3"/>
  <c r="C261" i="3"/>
  <c r="H261" i="3" s="1"/>
  <c r="B261" i="3"/>
  <c r="A261" i="3"/>
  <c r="F260" i="3"/>
  <c r="E260" i="3"/>
  <c r="C260" i="3"/>
  <c r="B260" i="3"/>
  <c r="H260" i="3" s="1"/>
  <c r="A260" i="3"/>
  <c r="J259" i="3"/>
  <c r="G259" i="3"/>
  <c r="F259" i="3"/>
  <c r="E259" i="3"/>
  <c r="C259" i="3"/>
  <c r="B259" i="3"/>
  <c r="A259" i="3"/>
  <c r="H258" i="3"/>
  <c r="G258" i="3"/>
  <c r="J258" i="3" s="1"/>
  <c r="F258" i="3"/>
  <c r="E258" i="3"/>
  <c r="C258" i="3"/>
  <c r="B258" i="3"/>
  <c r="J257" i="3"/>
  <c r="G257" i="3"/>
  <c r="F257" i="3"/>
  <c r="E257" i="3"/>
  <c r="C257" i="3"/>
  <c r="J256" i="3"/>
  <c r="G256" i="3"/>
  <c r="F256" i="3"/>
  <c r="E256" i="3"/>
  <c r="B256" i="3"/>
  <c r="J255" i="3"/>
  <c r="G255" i="3"/>
  <c r="F255" i="3"/>
  <c r="E255" i="3"/>
  <c r="C255" i="3"/>
  <c r="B255" i="3"/>
  <c r="H255" i="3" s="1"/>
  <c r="J254" i="3"/>
  <c r="G254" i="3"/>
  <c r="F254" i="3"/>
  <c r="C254" i="3"/>
  <c r="H254" i="3" s="1"/>
  <c r="B254" i="3"/>
  <c r="G253" i="3"/>
  <c r="J253" i="3" s="1"/>
  <c r="E253" i="3"/>
  <c r="C253" i="3"/>
  <c r="B253" i="3"/>
  <c r="H253" i="3" s="1"/>
  <c r="A253" i="3"/>
  <c r="F252" i="3"/>
  <c r="E252" i="3"/>
  <c r="C252" i="3"/>
  <c r="B252" i="3"/>
  <c r="H252" i="3" s="1"/>
  <c r="G251" i="3"/>
  <c r="J251" i="3" s="1"/>
  <c r="F251" i="3"/>
  <c r="E251" i="3"/>
  <c r="C251" i="3"/>
  <c r="B251" i="3"/>
  <c r="G250" i="3"/>
  <c r="J250" i="3" s="1"/>
  <c r="F250" i="3"/>
  <c r="E250" i="3"/>
  <c r="C250" i="3"/>
  <c r="B250" i="3"/>
  <c r="H250" i="3" s="1"/>
  <c r="G249" i="3"/>
  <c r="J249" i="3" s="1"/>
  <c r="F249" i="3"/>
  <c r="E249" i="3"/>
  <c r="C249" i="3"/>
  <c r="G248" i="3"/>
  <c r="J248" i="3" s="1"/>
  <c r="F248" i="3"/>
  <c r="E248" i="3"/>
  <c r="B248" i="3"/>
  <c r="J247" i="3"/>
  <c r="H247" i="3"/>
  <c r="G247" i="3"/>
  <c r="F247" i="3"/>
  <c r="E247" i="3"/>
  <c r="C247" i="3"/>
  <c r="B247" i="3"/>
  <c r="J246" i="3"/>
  <c r="H246" i="3"/>
  <c r="G246" i="3"/>
  <c r="F246" i="3"/>
  <c r="C246" i="3"/>
  <c r="B246" i="3"/>
  <c r="A246" i="3"/>
  <c r="H245" i="3"/>
  <c r="G245" i="3"/>
  <c r="J245" i="3" s="1"/>
  <c r="E245" i="3"/>
  <c r="C245" i="3"/>
  <c r="B245" i="3"/>
  <c r="G244" i="3"/>
  <c r="J244" i="3" s="1"/>
  <c r="F244" i="3"/>
  <c r="E244" i="3"/>
  <c r="C244" i="3"/>
  <c r="B244" i="3"/>
  <c r="H244" i="3" s="1"/>
  <c r="G243" i="3"/>
  <c r="J243" i="3" s="1"/>
  <c r="F243" i="3"/>
  <c r="C243" i="3"/>
  <c r="B243" i="3"/>
  <c r="H243" i="3" s="1"/>
  <c r="A243" i="3"/>
  <c r="J242" i="3"/>
  <c r="G242" i="3"/>
  <c r="F242" i="3"/>
  <c r="E242" i="3"/>
  <c r="C242" i="3"/>
  <c r="B242" i="3"/>
  <c r="H242" i="3" s="1"/>
  <c r="A242" i="3"/>
  <c r="J241" i="3"/>
  <c r="G241" i="3"/>
  <c r="F241" i="3"/>
  <c r="E241" i="3"/>
  <c r="C241" i="3"/>
  <c r="B241" i="3"/>
  <c r="H241" i="3" s="1"/>
  <c r="J240" i="3"/>
  <c r="G240" i="3"/>
  <c r="F240" i="3"/>
  <c r="E240" i="3"/>
  <c r="D240" i="3"/>
  <c r="C240" i="3"/>
  <c r="B240" i="3"/>
  <c r="H240" i="3" s="1"/>
  <c r="G239" i="3"/>
  <c r="J239" i="3" s="1"/>
  <c r="F239" i="3"/>
  <c r="E239" i="3"/>
  <c r="C239" i="3"/>
  <c r="H239" i="3" s="1"/>
  <c r="B239" i="3"/>
  <c r="G238" i="3"/>
  <c r="J238" i="3" s="1"/>
  <c r="F238" i="3"/>
  <c r="E238" i="3"/>
  <c r="C238" i="3"/>
  <c r="H238" i="3" s="1"/>
  <c r="B238" i="3"/>
  <c r="J237" i="3"/>
  <c r="H237" i="3"/>
  <c r="G237" i="3"/>
  <c r="F237" i="3"/>
  <c r="E237" i="3"/>
  <c r="C237" i="3"/>
  <c r="B237" i="3"/>
  <c r="G236" i="3"/>
  <c r="J236" i="3" s="1"/>
  <c r="F236" i="3"/>
  <c r="E236" i="3"/>
  <c r="C236" i="3"/>
  <c r="B236" i="3"/>
  <c r="H236" i="3" s="1"/>
  <c r="A236" i="3"/>
  <c r="G235" i="3"/>
  <c r="J235" i="3" s="1"/>
  <c r="F235" i="3"/>
  <c r="C235" i="3"/>
  <c r="B235" i="3"/>
  <c r="H235" i="3" s="1"/>
  <c r="A235" i="3"/>
  <c r="J234" i="3"/>
  <c r="G234" i="3"/>
  <c r="F234" i="3"/>
  <c r="E234" i="3"/>
  <c r="C234" i="3"/>
  <c r="B234" i="3"/>
  <c r="H234" i="3" s="1"/>
  <c r="A234" i="3"/>
  <c r="J233" i="3"/>
  <c r="G233" i="3"/>
  <c r="F233" i="3"/>
  <c r="E233" i="3"/>
  <c r="C233" i="3"/>
  <c r="B233" i="3"/>
  <c r="H233" i="3" s="1"/>
  <c r="J232" i="3"/>
  <c r="G232" i="3"/>
  <c r="F232" i="3"/>
  <c r="E232" i="3"/>
  <c r="C232" i="3"/>
  <c r="B232" i="3"/>
  <c r="H232" i="3" s="1"/>
  <c r="G231" i="3"/>
  <c r="J231" i="3" s="1"/>
  <c r="F231" i="3"/>
  <c r="E231" i="3"/>
  <c r="C231" i="3"/>
  <c r="B231" i="3"/>
  <c r="H231" i="3" s="1"/>
  <c r="G230" i="3"/>
  <c r="J230" i="3" s="1"/>
  <c r="F230" i="3"/>
  <c r="E230" i="3"/>
  <c r="C230" i="3"/>
  <c r="H230" i="3" s="1"/>
  <c r="B230" i="3"/>
  <c r="H229" i="3"/>
  <c r="G229" i="3"/>
  <c r="J229" i="3" s="1"/>
  <c r="F229" i="3"/>
  <c r="E229" i="3"/>
  <c r="C229" i="3"/>
  <c r="B229" i="3"/>
  <c r="H228" i="3"/>
  <c r="G228" i="3"/>
  <c r="J228" i="3" s="1"/>
  <c r="F228" i="3"/>
  <c r="E228" i="3"/>
  <c r="C228" i="3"/>
  <c r="B228" i="3"/>
  <c r="G227" i="3"/>
  <c r="J227" i="3" s="1"/>
  <c r="F227" i="3"/>
  <c r="C227" i="3"/>
  <c r="H227" i="3" s="1"/>
  <c r="B227" i="3"/>
  <c r="H226" i="3"/>
  <c r="G226" i="3"/>
  <c r="J226" i="3" s="1"/>
  <c r="F226" i="3"/>
  <c r="E226" i="3"/>
  <c r="C226" i="3"/>
  <c r="B226" i="3"/>
  <c r="J225" i="3"/>
  <c r="G225" i="3"/>
  <c r="F225" i="3"/>
  <c r="E225" i="3"/>
  <c r="C225" i="3"/>
  <c r="H225" i="3" s="1"/>
  <c r="B225" i="3"/>
  <c r="J224" i="3"/>
  <c r="G224" i="3"/>
  <c r="F224" i="3"/>
  <c r="E224" i="3"/>
  <c r="C224" i="3"/>
  <c r="B224" i="3"/>
  <c r="H224" i="3" s="1"/>
  <c r="G223" i="3"/>
  <c r="J223" i="3" s="1"/>
  <c r="F223" i="3"/>
  <c r="E223" i="3"/>
  <c r="C223" i="3"/>
  <c r="B223" i="3"/>
  <c r="H223" i="3" s="1"/>
  <c r="J222" i="3"/>
  <c r="G222" i="3"/>
  <c r="F222" i="3"/>
  <c r="E222" i="3"/>
  <c r="C222" i="3"/>
  <c r="J221" i="3"/>
  <c r="H221" i="3"/>
  <c r="G221" i="3"/>
  <c r="F221" i="3"/>
  <c r="E221" i="3"/>
  <c r="C221" i="3"/>
  <c r="B221" i="3"/>
  <c r="G220" i="3"/>
  <c r="J220" i="3" s="1"/>
  <c r="F220" i="3"/>
  <c r="E220" i="3"/>
  <c r="C220" i="3"/>
  <c r="B220" i="3"/>
  <c r="H220" i="3" s="1"/>
  <c r="G219" i="3"/>
  <c r="J219" i="3" s="1"/>
  <c r="F219" i="3"/>
  <c r="C219" i="3"/>
  <c r="B219" i="3"/>
  <c r="H219" i="3" s="1"/>
  <c r="A219" i="3"/>
  <c r="J218" i="3"/>
  <c r="G218" i="3"/>
  <c r="F218" i="3"/>
  <c r="E218" i="3"/>
  <c r="C218" i="3"/>
  <c r="B218" i="3"/>
  <c r="H218" i="3" s="1"/>
  <c r="A218" i="3"/>
  <c r="J217" i="3"/>
  <c r="G217" i="3"/>
  <c r="F217" i="3"/>
  <c r="E217" i="3"/>
  <c r="C217" i="3"/>
  <c r="B217" i="3"/>
  <c r="H217" i="3" s="1"/>
  <c r="J216" i="3"/>
  <c r="G216" i="3"/>
  <c r="F216" i="3"/>
  <c r="E216" i="3"/>
  <c r="C216" i="3"/>
  <c r="B216" i="3"/>
  <c r="H216" i="3" s="1"/>
  <c r="H215" i="3"/>
  <c r="G215" i="3"/>
  <c r="J215" i="3" s="1"/>
  <c r="F215" i="3"/>
  <c r="E215" i="3"/>
  <c r="C215" i="3"/>
  <c r="B215" i="3"/>
  <c r="G214" i="3"/>
  <c r="J214" i="3" s="1"/>
  <c r="F214" i="3"/>
  <c r="E214" i="3"/>
  <c r="C214" i="3"/>
  <c r="A214" i="3"/>
  <c r="G213" i="3"/>
  <c r="J213" i="3" s="1"/>
  <c r="F213" i="3"/>
  <c r="E213" i="3"/>
  <c r="B213" i="3"/>
  <c r="A213" i="3"/>
  <c r="H212" i="3"/>
  <c r="G212" i="3"/>
  <c r="J212" i="3" s="1"/>
  <c r="F212" i="3"/>
  <c r="E212" i="3"/>
  <c r="C212" i="3"/>
  <c r="B212" i="3"/>
  <c r="G211" i="3"/>
  <c r="J211" i="3" s="1"/>
  <c r="F211" i="3"/>
  <c r="C211" i="3"/>
  <c r="H211" i="3" s="1"/>
  <c r="B211" i="3"/>
  <c r="G210" i="3"/>
  <c r="J210" i="3" s="1"/>
  <c r="F210" i="3"/>
  <c r="E210" i="3"/>
  <c r="C210" i="3"/>
  <c r="B210" i="3"/>
  <c r="J209" i="3"/>
  <c r="G209" i="3"/>
  <c r="F209" i="3"/>
  <c r="E209" i="3"/>
  <c r="C209" i="3"/>
  <c r="H209" i="3" s="1"/>
  <c r="B209" i="3"/>
  <c r="J208" i="3"/>
  <c r="G208" i="3"/>
  <c r="F208" i="3"/>
  <c r="E208" i="3"/>
  <c r="C208" i="3"/>
  <c r="B208" i="3"/>
  <c r="G207" i="3"/>
  <c r="J207" i="3" s="1"/>
  <c r="F207" i="3"/>
  <c r="E207" i="3"/>
  <c r="C207" i="3"/>
  <c r="H207" i="3" s="1"/>
  <c r="B207" i="3"/>
  <c r="J206" i="3"/>
  <c r="G206" i="3"/>
  <c r="F206" i="3"/>
  <c r="E206" i="3"/>
  <c r="C206" i="3"/>
  <c r="J205" i="3"/>
  <c r="G205" i="3"/>
  <c r="F205" i="3"/>
  <c r="E205" i="3"/>
  <c r="B205" i="3"/>
  <c r="J204" i="3"/>
  <c r="G204" i="3"/>
  <c r="F204" i="3"/>
  <c r="E204" i="3"/>
  <c r="C204" i="3"/>
  <c r="H204" i="3" s="1"/>
  <c r="B204" i="3"/>
  <c r="J203" i="3"/>
  <c r="G203" i="3"/>
  <c r="F203" i="3"/>
  <c r="C203" i="3"/>
  <c r="H203" i="3" s="1"/>
  <c r="B203" i="3"/>
  <c r="J202" i="3"/>
  <c r="G202" i="3"/>
  <c r="F202" i="3"/>
  <c r="E202" i="3"/>
  <c r="B202" i="3"/>
  <c r="A202" i="3"/>
  <c r="J201" i="3"/>
  <c r="G201" i="3"/>
  <c r="F201" i="3"/>
  <c r="E201" i="3"/>
  <c r="B201" i="3"/>
  <c r="G200" i="3"/>
  <c r="J200" i="3" s="1"/>
  <c r="F200" i="3"/>
  <c r="E200" i="3"/>
  <c r="C200" i="3"/>
  <c r="B200" i="3"/>
  <c r="G199" i="3"/>
  <c r="J199" i="3" s="1"/>
  <c r="F199" i="3"/>
  <c r="E199" i="3"/>
  <c r="C199" i="3"/>
  <c r="B199" i="3"/>
  <c r="G198" i="3"/>
  <c r="J198" i="3" s="1"/>
  <c r="F198" i="3"/>
  <c r="E198" i="3"/>
  <c r="A198" i="3"/>
  <c r="J197" i="3"/>
  <c r="G197" i="3"/>
  <c r="F197" i="3"/>
  <c r="E197" i="3"/>
  <c r="B197" i="3"/>
  <c r="G196" i="3"/>
  <c r="J196" i="3" s="1"/>
  <c r="F196" i="3"/>
  <c r="E196" i="3"/>
  <c r="C196" i="3"/>
  <c r="B196" i="3"/>
  <c r="G195" i="3"/>
  <c r="J195" i="3" s="1"/>
  <c r="F195" i="3"/>
  <c r="B195" i="3"/>
  <c r="A195" i="3"/>
  <c r="G194" i="3"/>
  <c r="J194" i="3" s="1"/>
  <c r="F194" i="3"/>
  <c r="E194" i="3"/>
  <c r="B194" i="3"/>
  <c r="J193" i="3"/>
  <c r="G193" i="3"/>
  <c r="F193" i="3"/>
  <c r="E193" i="3"/>
  <c r="C193" i="3"/>
  <c r="B193" i="3"/>
  <c r="H193" i="3" s="1"/>
  <c r="G192" i="3"/>
  <c r="J192" i="3" s="1"/>
  <c r="F192" i="3"/>
  <c r="E192" i="3"/>
  <c r="B192" i="3"/>
  <c r="G191" i="3"/>
  <c r="J191" i="3" s="1"/>
  <c r="F191" i="3"/>
  <c r="E191" i="3"/>
  <c r="B191" i="3"/>
  <c r="G190" i="3"/>
  <c r="J190" i="3" s="1"/>
  <c r="F190" i="3"/>
  <c r="E190" i="3"/>
  <c r="C190" i="3"/>
  <c r="G189" i="3"/>
  <c r="J189" i="3" s="1"/>
  <c r="F189" i="3"/>
  <c r="E189" i="3"/>
  <c r="B189" i="3"/>
  <c r="A189" i="3"/>
  <c r="G188" i="3"/>
  <c r="J188" i="3" s="1"/>
  <c r="F188" i="3"/>
  <c r="E188" i="3"/>
  <c r="B188" i="3"/>
  <c r="G187" i="3"/>
  <c r="J187" i="3" s="1"/>
  <c r="F187" i="3"/>
  <c r="C187" i="3"/>
  <c r="H187" i="3" s="1"/>
  <c r="B187" i="3"/>
  <c r="H186" i="3"/>
  <c r="G186" i="3"/>
  <c r="J186" i="3" s="1"/>
  <c r="F186" i="3"/>
  <c r="E186" i="3"/>
  <c r="C186" i="3"/>
  <c r="B186" i="3"/>
  <c r="J185" i="3"/>
  <c r="H185" i="3"/>
  <c r="G185" i="3"/>
  <c r="F185" i="3"/>
  <c r="E185" i="3"/>
  <c r="C185" i="3"/>
  <c r="B185" i="3"/>
  <c r="J184" i="3"/>
  <c r="G184" i="3"/>
  <c r="F184" i="3"/>
  <c r="E184" i="3"/>
  <c r="C184" i="3"/>
  <c r="B184" i="3"/>
  <c r="H183" i="3"/>
  <c r="G183" i="3"/>
  <c r="J183" i="3" s="1"/>
  <c r="F183" i="3"/>
  <c r="E183" i="3"/>
  <c r="C183" i="3"/>
  <c r="B183" i="3"/>
  <c r="G182" i="3"/>
  <c r="J182" i="3" s="1"/>
  <c r="F182" i="3"/>
  <c r="E182" i="3"/>
  <c r="C182" i="3"/>
  <c r="G181" i="3"/>
  <c r="J181" i="3" s="1"/>
  <c r="F181" i="3"/>
  <c r="E181" i="3"/>
  <c r="B181" i="3"/>
  <c r="J180" i="3"/>
  <c r="G180" i="3"/>
  <c r="F180" i="3"/>
  <c r="C180" i="3"/>
  <c r="B180" i="3"/>
  <c r="H180" i="3" s="1"/>
  <c r="A180" i="3"/>
  <c r="H179" i="3"/>
  <c r="G179" i="3"/>
  <c r="F179" i="3"/>
  <c r="C179" i="3"/>
  <c r="B179" i="3"/>
  <c r="A179" i="3"/>
  <c r="H178" i="3"/>
  <c r="H177" i="3"/>
  <c r="G176" i="3"/>
  <c r="J176" i="3" s="1"/>
  <c r="F176" i="3"/>
  <c r="E176" i="3"/>
  <c r="D176" i="3"/>
  <c r="C176" i="3"/>
  <c r="B176" i="3"/>
  <c r="G175" i="3"/>
  <c r="J175" i="3" s="1"/>
  <c r="F175" i="3"/>
  <c r="E175" i="3"/>
  <c r="D175" i="3"/>
  <c r="C175" i="3"/>
  <c r="B175" i="3"/>
  <c r="H175" i="3" s="1"/>
  <c r="J174" i="3"/>
  <c r="G174" i="3"/>
  <c r="F174" i="3"/>
  <c r="E174" i="3"/>
  <c r="D174" i="3"/>
  <c r="C174" i="3"/>
  <c r="B174" i="3"/>
  <c r="H174" i="3" s="1"/>
  <c r="G173" i="3"/>
  <c r="J173" i="3" s="1"/>
  <c r="F173" i="3"/>
  <c r="E173" i="3"/>
  <c r="D173" i="3"/>
  <c r="C173" i="3"/>
  <c r="B173" i="3"/>
  <c r="G172" i="3"/>
  <c r="J172" i="3" s="1"/>
  <c r="F172" i="3"/>
  <c r="E172" i="3"/>
  <c r="D172" i="3"/>
  <c r="C172" i="3"/>
  <c r="B172" i="3"/>
  <c r="H172" i="3" s="1"/>
  <c r="G171" i="3"/>
  <c r="J171" i="3" s="1"/>
  <c r="F171" i="3"/>
  <c r="E171" i="3"/>
  <c r="D171" i="3"/>
  <c r="C171" i="3"/>
  <c r="B171" i="3"/>
  <c r="H171" i="3" s="1"/>
  <c r="J170" i="3"/>
  <c r="G170" i="3"/>
  <c r="F170" i="3"/>
  <c r="E170" i="3"/>
  <c r="D170" i="3"/>
  <c r="C170" i="3"/>
  <c r="B170" i="3"/>
  <c r="H170" i="3" s="1"/>
  <c r="G169" i="3"/>
  <c r="J169" i="3" s="1"/>
  <c r="F169" i="3"/>
  <c r="E169" i="3"/>
  <c r="D169" i="3"/>
  <c r="C169" i="3"/>
  <c r="B169" i="3"/>
  <c r="G168" i="3"/>
  <c r="J168" i="3" s="1"/>
  <c r="F168" i="3"/>
  <c r="E168" i="3"/>
  <c r="D168" i="3"/>
  <c r="C168" i="3"/>
  <c r="B168" i="3"/>
  <c r="G167" i="3"/>
  <c r="J167" i="3" s="1"/>
  <c r="F167" i="3"/>
  <c r="E167" i="3"/>
  <c r="D167" i="3"/>
  <c r="C167" i="3"/>
  <c r="B167" i="3"/>
  <c r="H167" i="3" s="1"/>
  <c r="J166" i="3"/>
  <c r="G166" i="3"/>
  <c r="F166" i="3"/>
  <c r="E166" i="3"/>
  <c r="D166" i="3"/>
  <c r="C166" i="3"/>
  <c r="B166" i="3"/>
  <c r="H166" i="3" s="1"/>
  <c r="J165" i="3"/>
  <c r="G165" i="3"/>
  <c r="F165" i="3"/>
  <c r="E165" i="3"/>
  <c r="D165" i="3"/>
  <c r="C165" i="3"/>
  <c r="B165" i="3"/>
  <c r="G164" i="3"/>
  <c r="J164" i="3" s="1"/>
  <c r="F164" i="3"/>
  <c r="E164" i="3"/>
  <c r="D164" i="3"/>
  <c r="C164" i="3"/>
  <c r="B164" i="3"/>
  <c r="H164" i="3" s="1"/>
  <c r="G163" i="3"/>
  <c r="J163" i="3" s="1"/>
  <c r="F163" i="3"/>
  <c r="E163" i="3"/>
  <c r="D163" i="3"/>
  <c r="C163" i="3"/>
  <c r="B163" i="3"/>
  <c r="H163" i="3" s="1"/>
  <c r="J162" i="3"/>
  <c r="G162" i="3"/>
  <c r="F162" i="3"/>
  <c r="E162" i="3"/>
  <c r="D162" i="3"/>
  <c r="C162" i="3"/>
  <c r="B162" i="3"/>
  <c r="H162" i="3" s="1"/>
  <c r="G161" i="3"/>
  <c r="J161" i="3" s="1"/>
  <c r="F161" i="3"/>
  <c r="E161" i="3"/>
  <c r="D161" i="3"/>
  <c r="C161" i="3"/>
  <c r="B161" i="3"/>
  <c r="G160" i="3"/>
  <c r="J160" i="3" s="1"/>
  <c r="F160" i="3"/>
  <c r="E160" i="3"/>
  <c r="D160" i="3"/>
  <c r="C160" i="3"/>
  <c r="B160" i="3"/>
  <c r="G159" i="3"/>
  <c r="J159" i="3" s="1"/>
  <c r="F159" i="3"/>
  <c r="E159" i="3"/>
  <c r="D159" i="3"/>
  <c r="C159" i="3"/>
  <c r="B159" i="3"/>
  <c r="H159" i="3" s="1"/>
  <c r="J158" i="3"/>
  <c r="G158" i="3"/>
  <c r="F158" i="3"/>
  <c r="E158" i="3"/>
  <c r="D158" i="3"/>
  <c r="C158" i="3"/>
  <c r="B158" i="3"/>
  <c r="H158" i="3" s="1"/>
  <c r="J157" i="3"/>
  <c r="G157" i="3"/>
  <c r="F157" i="3"/>
  <c r="E157" i="3"/>
  <c r="D157" i="3"/>
  <c r="C157" i="3"/>
  <c r="B157" i="3"/>
  <c r="G156" i="3"/>
  <c r="J156" i="3" s="1"/>
  <c r="F156" i="3"/>
  <c r="E156" i="3"/>
  <c r="D156" i="3"/>
  <c r="C156" i="3"/>
  <c r="B156" i="3"/>
  <c r="H156" i="3" s="1"/>
  <c r="G155" i="3"/>
  <c r="J155" i="3" s="1"/>
  <c r="F155" i="3"/>
  <c r="E155" i="3"/>
  <c r="D155" i="3"/>
  <c r="C155" i="3"/>
  <c r="B155" i="3"/>
  <c r="H155" i="3" s="1"/>
  <c r="J154" i="3"/>
  <c r="G154" i="3"/>
  <c r="F154" i="3"/>
  <c r="E154" i="3"/>
  <c r="D154" i="3"/>
  <c r="C154" i="3"/>
  <c r="B154" i="3"/>
  <c r="H154" i="3" s="1"/>
  <c r="G153" i="3"/>
  <c r="J153" i="3" s="1"/>
  <c r="F153" i="3"/>
  <c r="E153" i="3"/>
  <c r="D153" i="3"/>
  <c r="C153" i="3"/>
  <c r="B153" i="3"/>
  <c r="G152" i="3"/>
  <c r="J152" i="3" s="1"/>
  <c r="F152" i="3"/>
  <c r="E152" i="3"/>
  <c r="D152" i="3"/>
  <c r="C152" i="3"/>
  <c r="B152" i="3"/>
  <c r="G151" i="3"/>
  <c r="J151" i="3" s="1"/>
  <c r="F151" i="3"/>
  <c r="E151" i="3"/>
  <c r="D151" i="3"/>
  <c r="C151" i="3"/>
  <c r="B151" i="3"/>
  <c r="H151" i="3" s="1"/>
  <c r="C150" i="3"/>
  <c r="E149" i="3"/>
  <c r="D149" i="3"/>
  <c r="C149" i="3"/>
  <c r="E148" i="3"/>
  <c r="C148" i="3"/>
  <c r="C147" i="3"/>
  <c r="D146" i="3"/>
  <c r="C146" i="3"/>
  <c r="D145" i="3"/>
  <c r="C145" i="3"/>
  <c r="C144" i="3"/>
  <c r="C143" i="3"/>
  <c r="C142" i="3"/>
  <c r="D141" i="3"/>
  <c r="C141" i="3"/>
  <c r="D140" i="3"/>
  <c r="C140" i="3"/>
  <c r="E139" i="3"/>
  <c r="C139" i="3"/>
  <c r="C138" i="3"/>
  <c r="E136" i="3"/>
  <c r="D136" i="3"/>
  <c r="D135" i="3"/>
  <c r="E134" i="3"/>
  <c r="D134" i="3"/>
  <c r="E130" i="3"/>
  <c r="D130" i="3"/>
  <c r="E128" i="3"/>
  <c r="D128" i="3"/>
  <c r="D127" i="3"/>
  <c r="E126" i="3"/>
  <c r="D126" i="3"/>
  <c r="E122" i="3"/>
  <c r="D122" i="3"/>
  <c r="E120" i="3"/>
  <c r="D120" i="3"/>
  <c r="D119" i="3"/>
  <c r="E118" i="3"/>
  <c r="D118" i="3"/>
  <c r="E114" i="3"/>
  <c r="D114" i="3"/>
  <c r="E112" i="3"/>
  <c r="D112" i="3"/>
  <c r="D111" i="3"/>
  <c r="E110" i="3"/>
  <c r="D110" i="3"/>
  <c r="E106" i="3"/>
  <c r="D106" i="3"/>
  <c r="E104" i="3"/>
  <c r="D104" i="3"/>
  <c r="D103" i="3"/>
  <c r="E102" i="3"/>
  <c r="D102" i="3"/>
  <c r="D100" i="3"/>
  <c r="E98" i="3"/>
  <c r="D98" i="3"/>
  <c r="E96" i="3"/>
  <c r="D96" i="3"/>
  <c r="D95" i="3"/>
  <c r="E94" i="3"/>
  <c r="D94" i="3"/>
  <c r="E92" i="3"/>
  <c r="D92" i="3"/>
  <c r="E90" i="3"/>
  <c r="D90" i="3"/>
  <c r="E88" i="3"/>
  <c r="D88" i="3"/>
  <c r="D87" i="3"/>
  <c r="E86" i="3"/>
  <c r="D86" i="3"/>
  <c r="E84" i="3"/>
  <c r="D84" i="3"/>
  <c r="E82" i="3"/>
  <c r="D82" i="3"/>
  <c r="E80" i="3"/>
  <c r="D80" i="3"/>
  <c r="D79" i="3"/>
  <c r="E78" i="3"/>
  <c r="D78" i="3"/>
  <c r="E76" i="3"/>
  <c r="E74" i="3"/>
  <c r="D74" i="3"/>
  <c r="E72" i="3"/>
  <c r="E71" i="3"/>
  <c r="B71" i="3"/>
  <c r="D69" i="3"/>
  <c r="D66" i="3"/>
  <c r="B66" i="3"/>
  <c r="E64" i="3"/>
  <c r="E63" i="3"/>
  <c r="B63" i="3"/>
  <c r="D61" i="3"/>
  <c r="D58" i="3"/>
  <c r="B58" i="3"/>
  <c r="E56" i="3"/>
  <c r="B55" i="3"/>
  <c r="E53" i="3"/>
  <c r="D53" i="3"/>
  <c r="D50" i="3"/>
  <c r="B50" i="3"/>
  <c r="E48" i="3"/>
  <c r="B47" i="3"/>
  <c r="E45" i="3"/>
  <c r="D45" i="3"/>
  <c r="D42" i="3"/>
  <c r="F40" i="3"/>
  <c r="E39" i="3"/>
  <c r="D39" i="3"/>
  <c r="B38" i="3"/>
  <c r="F36" i="3"/>
  <c r="E35" i="3"/>
  <c r="D35" i="3"/>
  <c r="B34" i="3"/>
  <c r="F32" i="3"/>
  <c r="E31" i="3"/>
  <c r="D31" i="3"/>
  <c r="D30" i="3"/>
  <c r="C30" i="3"/>
  <c r="D29" i="3"/>
  <c r="C29" i="3"/>
  <c r="D27" i="3"/>
  <c r="D26" i="3"/>
  <c r="C26" i="3"/>
  <c r="D25" i="3"/>
  <c r="C25" i="3"/>
  <c r="D24" i="3"/>
  <c r="D23" i="3"/>
  <c r="C23" i="3"/>
  <c r="D22" i="3"/>
  <c r="C22" i="3"/>
  <c r="D21" i="3"/>
  <c r="C21" i="3"/>
  <c r="D19" i="3"/>
  <c r="D18" i="3"/>
  <c r="C18" i="3"/>
  <c r="D17" i="3"/>
  <c r="D16" i="3"/>
  <c r="D15" i="3"/>
  <c r="C15" i="3"/>
  <c r="D14" i="3"/>
  <c r="C14" i="3"/>
  <c r="D13" i="3"/>
  <c r="C13" i="3"/>
  <c r="D11" i="3"/>
  <c r="D10" i="3"/>
  <c r="C10" i="3"/>
  <c r="D9" i="3"/>
  <c r="D8" i="3"/>
  <c r="G144" i="2"/>
  <c r="F144" i="2"/>
  <c r="E144" i="2"/>
  <c r="D148" i="5" s="1"/>
  <c r="D144" i="2"/>
  <c r="C148" i="5" s="1"/>
  <c r="A144" i="2"/>
  <c r="G143" i="2"/>
  <c r="F143" i="2"/>
  <c r="E143" i="2"/>
  <c r="D147" i="5" s="1"/>
  <c r="D143" i="2"/>
  <c r="C147" i="5" s="1"/>
  <c r="A143" i="2"/>
  <c r="G142" i="2"/>
  <c r="F142" i="2"/>
  <c r="E142" i="2"/>
  <c r="D146" i="5" s="1"/>
  <c r="D142" i="2"/>
  <c r="C146" i="5" s="1"/>
  <c r="A142" i="2"/>
  <c r="G141" i="2"/>
  <c r="F141" i="2"/>
  <c r="E141" i="2"/>
  <c r="D141" i="2"/>
  <c r="C145" i="5" s="1"/>
  <c r="A141" i="2"/>
  <c r="G140" i="2"/>
  <c r="F140" i="2"/>
  <c r="E140" i="2"/>
  <c r="D144" i="5" s="1"/>
  <c r="D140" i="2"/>
  <c r="C144" i="5" s="1"/>
  <c r="A140" i="2"/>
  <c r="G139" i="2"/>
  <c r="F139" i="2"/>
  <c r="E139" i="2"/>
  <c r="D143" i="5" s="1"/>
  <c r="D139" i="2"/>
  <c r="C143" i="5" s="1"/>
  <c r="A139" i="2"/>
  <c r="G138" i="2"/>
  <c r="F138" i="2"/>
  <c r="E138" i="2"/>
  <c r="D142" i="5" s="1"/>
  <c r="D138" i="2"/>
  <c r="A138" i="2"/>
  <c r="G137" i="2"/>
  <c r="F137" i="2"/>
  <c r="E137" i="2"/>
  <c r="D141" i="5" s="1"/>
  <c r="D137" i="2"/>
  <c r="C141" i="5" s="1"/>
  <c r="B137" i="2"/>
  <c r="A137" i="2"/>
  <c r="G136" i="2"/>
  <c r="F136" i="2"/>
  <c r="E136" i="2"/>
  <c r="D140" i="5" s="1"/>
  <c r="D136" i="2"/>
  <c r="C140" i="5" s="1"/>
  <c r="B136" i="2"/>
  <c r="A136" i="2"/>
  <c r="G135" i="2"/>
  <c r="F135" i="2"/>
  <c r="E135" i="2"/>
  <c r="D139" i="5" s="1"/>
  <c r="D135" i="2"/>
  <c r="C139" i="5" s="1"/>
  <c r="A135" i="2"/>
  <c r="G134" i="2"/>
  <c r="F134" i="2"/>
  <c r="E134" i="2"/>
  <c r="D138" i="5" s="1"/>
  <c r="D134" i="2"/>
  <c r="C138" i="5" s="1"/>
  <c r="A134" i="2"/>
  <c r="G133" i="2"/>
  <c r="F133" i="2"/>
  <c r="E133" i="2"/>
  <c r="D137" i="5" s="1"/>
  <c r="D133" i="2"/>
  <c r="C137" i="5" s="1"/>
  <c r="A133" i="2"/>
  <c r="G132" i="2"/>
  <c r="F132" i="2"/>
  <c r="E132" i="2"/>
  <c r="D132" i="2"/>
  <c r="C136" i="5" s="1"/>
  <c r="A132" i="2"/>
  <c r="G131" i="2"/>
  <c r="F131" i="2"/>
  <c r="E131" i="2"/>
  <c r="D135" i="5" s="1"/>
  <c r="D131" i="2"/>
  <c r="C135" i="5" s="1"/>
  <c r="C131" i="2"/>
  <c r="B131" i="2"/>
  <c r="A131" i="2"/>
  <c r="G130" i="2"/>
  <c r="F130" i="2"/>
  <c r="E130" i="2"/>
  <c r="D134" i="5" s="1"/>
  <c r="D130" i="2"/>
  <c r="C134" i="5" s="1"/>
  <c r="C130" i="2"/>
  <c r="B130" i="2"/>
  <c r="A130" i="2"/>
  <c r="G129" i="2"/>
  <c r="F129" i="2"/>
  <c r="E129" i="2"/>
  <c r="D133" i="5" s="1"/>
  <c r="D129" i="2"/>
  <c r="C133" i="5" s="1"/>
  <c r="C129" i="2"/>
  <c r="B129" i="2"/>
  <c r="A129" i="2"/>
  <c r="G128" i="2"/>
  <c r="F128" i="2"/>
  <c r="E128" i="2"/>
  <c r="D132" i="5" s="1"/>
  <c r="D128" i="2"/>
  <c r="C132" i="5" s="1"/>
  <c r="C128" i="2"/>
  <c r="B128" i="2"/>
  <c r="A128" i="2"/>
  <c r="G127" i="2"/>
  <c r="F127" i="2"/>
  <c r="E127" i="2"/>
  <c r="D127" i="2"/>
  <c r="C131" i="5" s="1"/>
  <c r="C127" i="2"/>
  <c r="B127" i="2"/>
  <c r="A127" i="2"/>
  <c r="G126" i="2"/>
  <c r="F126" i="2"/>
  <c r="E126" i="2"/>
  <c r="D130" i="5" s="1"/>
  <c r="D126" i="2"/>
  <c r="C130" i="5" s="1"/>
  <c r="C126" i="2"/>
  <c r="B126" i="2"/>
  <c r="A126" i="2"/>
  <c r="G125" i="2"/>
  <c r="F125" i="2"/>
  <c r="E125" i="2"/>
  <c r="D129" i="5" s="1"/>
  <c r="D125" i="2"/>
  <c r="C125" i="2"/>
  <c r="B125" i="2"/>
  <c r="A125" i="2"/>
  <c r="G124" i="2"/>
  <c r="F124" i="2"/>
  <c r="E124" i="2"/>
  <c r="D128" i="5" s="1"/>
  <c r="D124" i="2"/>
  <c r="C128" i="5" s="1"/>
  <c r="C124" i="2"/>
  <c r="B124" i="2"/>
  <c r="A124" i="2"/>
  <c r="G123" i="2"/>
  <c r="F123" i="2"/>
  <c r="E123" i="2"/>
  <c r="D127" i="5" s="1"/>
  <c r="D123" i="2"/>
  <c r="C127" i="5" s="1"/>
  <c r="C123" i="2"/>
  <c r="B123" i="2"/>
  <c r="A123" i="2"/>
  <c r="G122" i="2"/>
  <c r="F122" i="2"/>
  <c r="E122" i="2"/>
  <c r="D126" i="5" s="1"/>
  <c r="D122" i="2"/>
  <c r="C126" i="5" s="1"/>
  <c r="C122" i="2"/>
  <c r="B122" i="2"/>
  <c r="A122" i="2"/>
  <c r="G121" i="2"/>
  <c r="F121" i="2"/>
  <c r="E121" i="2"/>
  <c r="D125" i="5" s="1"/>
  <c r="D121" i="2"/>
  <c r="C125" i="5" s="1"/>
  <c r="C121" i="2"/>
  <c r="B121" i="2"/>
  <c r="A121" i="2"/>
  <c r="G120" i="2"/>
  <c r="F120" i="2"/>
  <c r="E120" i="2"/>
  <c r="D124" i="5" s="1"/>
  <c r="D120" i="2"/>
  <c r="C124" i="5" s="1"/>
  <c r="C120" i="2"/>
  <c r="B120" i="2"/>
  <c r="A120" i="2"/>
  <c r="G119" i="2"/>
  <c r="F119" i="2"/>
  <c r="E119" i="2"/>
  <c r="D119" i="2"/>
  <c r="C123" i="5" s="1"/>
  <c r="C119" i="2"/>
  <c r="B119" i="2"/>
  <c r="A119" i="2"/>
  <c r="G118" i="2"/>
  <c r="F118" i="2"/>
  <c r="E118" i="2"/>
  <c r="D122" i="5" s="1"/>
  <c r="D118" i="2"/>
  <c r="C122" i="5" s="1"/>
  <c r="C118" i="2"/>
  <c r="B118" i="2"/>
  <c r="A118" i="2"/>
  <c r="G117" i="2"/>
  <c r="F117" i="2"/>
  <c r="E117" i="2"/>
  <c r="D121" i="5" s="1"/>
  <c r="D117" i="2"/>
  <c r="C117" i="2"/>
  <c r="B117" i="2"/>
  <c r="A117" i="2"/>
  <c r="G116" i="2"/>
  <c r="F116" i="2"/>
  <c r="E116" i="2"/>
  <c r="D120" i="5" s="1"/>
  <c r="D116" i="2"/>
  <c r="C120" i="5" s="1"/>
  <c r="C116" i="2"/>
  <c r="B116" i="2"/>
  <c r="A116" i="2"/>
  <c r="G115" i="2"/>
  <c r="F115" i="2"/>
  <c r="E115" i="2"/>
  <c r="D119" i="5" s="1"/>
  <c r="D115" i="2"/>
  <c r="C119" i="5" s="1"/>
  <c r="C115" i="2"/>
  <c r="B115" i="2"/>
  <c r="A115" i="2"/>
  <c r="G114" i="2"/>
  <c r="F114" i="2"/>
  <c r="E114" i="2"/>
  <c r="D118" i="5" s="1"/>
  <c r="D114" i="2"/>
  <c r="C118" i="5" s="1"/>
  <c r="C114" i="2"/>
  <c r="B114" i="2"/>
  <c r="A114" i="2"/>
  <c r="G113" i="2"/>
  <c r="F113" i="2"/>
  <c r="E113" i="2"/>
  <c r="D117" i="5" s="1"/>
  <c r="D113" i="2"/>
  <c r="C117" i="5" s="1"/>
  <c r="C113" i="2"/>
  <c r="B113" i="2"/>
  <c r="A113" i="2"/>
  <c r="G112" i="2"/>
  <c r="F112" i="2"/>
  <c r="E112" i="2"/>
  <c r="D116" i="5" s="1"/>
  <c r="D112" i="2"/>
  <c r="C116" i="5" s="1"/>
  <c r="C112" i="2"/>
  <c r="B112" i="2"/>
  <c r="A112" i="2"/>
  <c r="G111" i="2"/>
  <c r="F111" i="2"/>
  <c r="E111" i="2"/>
  <c r="D111" i="2"/>
  <c r="C115" i="5" s="1"/>
  <c r="C111" i="2"/>
  <c r="B111" i="2"/>
  <c r="A111" i="2"/>
  <c r="G110" i="2"/>
  <c r="F110" i="2"/>
  <c r="E110" i="2"/>
  <c r="D114" i="5" s="1"/>
  <c r="D110" i="2"/>
  <c r="C114" i="5" s="1"/>
  <c r="C110" i="2"/>
  <c r="B110" i="2"/>
  <c r="A110" i="2"/>
  <c r="G109" i="2"/>
  <c r="F109" i="2"/>
  <c r="E109" i="2"/>
  <c r="D113" i="5" s="1"/>
  <c r="D109" i="2"/>
  <c r="C109" i="2"/>
  <c r="B109" i="2"/>
  <c r="A109" i="2"/>
  <c r="G108" i="2"/>
  <c r="F108" i="2"/>
  <c r="E108" i="2"/>
  <c r="D112" i="5" s="1"/>
  <c r="D108" i="2"/>
  <c r="C112" i="5" s="1"/>
  <c r="C108" i="2"/>
  <c r="B108" i="2"/>
  <c r="A108" i="2"/>
  <c r="G107" i="2"/>
  <c r="F107" i="2"/>
  <c r="E107" i="2"/>
  <c r="D111" i="5" s="1"/>
  <c r="D107" i="2"/>
  <c r="C111" i="5" s="1"/>
  <c r="C107" i="2"/>
  <c r="B107" i="2"/>
  <c r="A107" i="2"/>
  <c r="G106" i="2"/>
  <c r="F106" i="2"/>
  <c r="E106" i="2"/>
  <c r="D110" i="5" s="1"/>
  <c r="D106" i="2"/>
  <c r="C110" i="5" s="1"/>
  <c r="C106" i="2"/>
  <c r="B106" i="2"/>
  <c r="A106" i="2"/>
  <c r="G105" i="2"/>
  <c r="F105" i="2"/>
  <c r="E105" i="2"/>
  <c r="D109" i="5" s="1"/>
  <c r="D105" i="2"/>
  <c r="C109" i="5" s="1"/>
  <c r="C105" i="2"/>
  <c r="B105" i="2"/>
  <c r="A105" i="2"/>
  <c r="G104" i="2"/>
  <c r="F104" i="2"/>
  <c r="E104" i="2"/>
  <c r="D108" i="5" s="1"/>
  <c r="D104" i="2"/>
  <c r="C108" i="5" s="1"/>
  <c r="C104" i="2"/>
  <c r="B104" i="2"/>
  <c r="A104" i="2"/>
  <c r="G103" i="2"/>
  <c r="F103" i="2"/>
  <c r="E103" i="2"/>
  <c r="D103" i="2"/>
  <c r="C107" i="5" s="1"/>
  <c r="C103" i="2"/>
  <c r="B103" i="2"/>
  <c r="A103" i="2"/>
  <c r="G102" i="2"/>
  <c r="F102" i="2"/>
  <c r="E102" i="2"/>
  <c r="D106" i="5" s="1"/>
  <c r="D102" i="2"/>
  <c r="C106" i="5" s="1"/>
  <c r="C102" i="2"/>
  <c r="B102" i="2"/>
  <c r="A102" i="2"/>
  <c r="G101" i="2"/>
  <c r="F101" i="2"/>
  <c r="E101" i="2"/>
  <c r="D105" i="5" s="1"/>
  <c r="D101" i="2"/>
  <c r="C101" i="2"/>
  <c r="B101" i="2"/>
  <c r="A101" i="2"/>
  <c r="G100" i="2"/>
  <c r="F100" i="2"/>
  <c r="E100" i="2"/>
  <c r="D104" i="5" s="1"/>
  <c r="D100" i="2"/>
  <c r="C104" i="5" s="1"/>
  <c r="C100" i="2"/>
  <c r="B100" i="2"/>
  <c r="A100" i="2"/>
  <c r="G99" i="2"/>
  <c r="F99" i="2"/>
  <c r="E99" i="2"/>
  <c r="D103" i="5" s="1"/>
  <c r="D99" i="2"/>
  <c r="C103" i="5" s="1"/>
  <c r="C99" i="2"/>
  <c r="B99" i="2"/>
  <c r="A99" i="2"/>
  <c r="G98" i="2"/>
  <c r="F98" i="2"/>
  <c r="E98" i="2"/>
  <c r="D102" i="5" s="1"/>
  <c r="D98" i="2"/>
  <c r="C102" i="5" s="1"/>
  <c r="C98" i="2"/>
  <c r="B98" i="2"/>
  <c r="A98" i="2"/>
  <c r="G97" i="2"/>
  <c r="F97" i="2"/>
  <c r="E97" i="2"/>
  <c r="D101" i="5" s="1"/>
  <c r="D97" i="2"/>
  <c r="C101" i="5" s="1"/>
  <c r="C97" i="2"/>
  <c r="B97" i="2"/>
  <c r="A97" i="2"/>
  <c r="G96" i="2"/>
  <c r="F96" i="2"/>
  <c r="E96" i="2"/>
  <c r="D100" i="5" s="1"/>
  <c r="D96" i="2"/>
  <c r="C100" i="5" s="1"/>
  <c r="C96" i="2"/>
  <c r="B96" i="2"/>
  <c r="A96" i="2"/>
  <c r="G95" i="2"/>
  <c r="F95" i="2"/>
  <c r="E95" i="2"/>
  <c r="D95" i="2"/>
  <c r="C99" i="5" s="1"/>
  <c r="C95" i="2"/>
  <c r="B95" i="2"/>
  <c r="A95" i="2"/>
  <c r="G94" i="2"/>
  <c r="F94" i="2"/>
  <c r="E94" i="2"/>
  <c r="D98" i="5" s="1"/>
  <c r="D94" i="2"/>
  <c r="C98" i="5" s="1"/>
  <c r="C94" i="2"/>
  <c r="B94" i="2"/>
  <c r="A94" i="2"/>
  <c r="G93" i="2"/>
  <c r="F93" i="2"/>
  <c r="E93" i="2"/>
  <c r="D97" i="5" s="1"/>
  <c r="D93" i="2"/>
  <c r="C93" i="2"/>
  <c r="B93" i="2"/>
  <c r="A93" i="2"/>
  <c r="G92" i="2"/>
  <c r="F92" i="2"/>
  <c r="E92" i="2"/>
  <c r="D96" i="5" s="1"/>
  <c r="D92" i="2"/>
  <c r="C96" i="5" s="1"/>
  <c r="C92" i="2"/>
  <c r="B92" i="2"/>
  <c r="A92" i="2"/>
  <c r="G91" i="2"/>
  <c r="F91" i="2"/>
  <c r="E91" i="2"/>
  <c r="D95" i="5" s="1"/>
  <c r="D91" i="2"/>
  <c r="C95" i="5" s="1"/>
  <c r="C91" i="2"/>
  <c r="B91" i="2"/>
  <c r="A91" i="2"/>
  <c r="G90" i="2"/>
  <c r="F90" i="2"/>
  <c r="E90" i="2"/>
  <c r="D94" i="5" s="1"/>
  <c r="D90" i="2"/>
  <c r="C94" i="5" s="1"/>
  <c r="C90" i="2"/>
  <c r="B90" i="2"/>
  <c r="A90" i="2"/>
  <c r="G89" i="2"/>
  <c r="F89" i="2"/>
  <c r="E89" i="2"/>
  <c r="D93" i="5" s="1"/>
  <c r="D89" i="2"/>
  <c r="C93" i="5" s="1"/>
  <c r="C89" i="2"/>
  <c r="B89" i="2"/>
  <c r="A89" i="2"/>
  <c r="G88" i="2"/>
  <c r="F88" i="2"/>
  <c r="E88" i="2"/>
  <c r="D92" i="5" s="1"/>
  <c r="D88" i="2"/>
  <c r="C92" i="5" s="1"/>
  <c r="C88" i="2"/>
  <c r="B88" i="2"/>
  <c r="A88" i="2"/>
  <c r="G87" i="2"/>
  <c r="F87" i="2"/>
  <c r="E87" i="2"/>
  <c r="D87" i="2"/>
  <c r="C91" i="5" s="1"/>
  <c r="C87" i="2"/>
  <c r="B87" i="2"/>
  <c r="A87" i="2"/>
  <c r="G86" i="2"/>
  <c r="F86" i="2"/>
  <c r="E86" i="2"/>
  <c r="D90" i="5" s="1"/>
  <c r="D86" i="2"/>
  <c r="C90" i="5" s="1"/>
  <c r="C86" i="2"/>
  <c r="B86" i="2"/>
  <c r="A86" i="2"/>
  <c r="G85" i="2"/>
  <c r="F85" i="2"/>
  <c r="E85" i="2"/>
  <c r="D89" i="5" s="1"/>
  <c r="D85" i="2"/>
  <c r="C85" i="2"/>
  <c r="B85" i="2"/>
  <c r="A85" i="2"/>
  <c r="G84" i="2"/>
  <c r="F84" i="2"/>
  <c r="E84" i="2"/>
  <c r="D88" i="5" s="1"/>
  <c r="D84" i="2"/>
  <c r="C88" i="5" s="1"/>
  <c r="C84" i="2"/>
  <c r="B84" i="2"/>
  <c r="A84" i="2"/>
  <c r="G83" i="2"/>
  <c r="F83" i="2"/>
  <c r="E83" i="2"/>
  <c r="D87" i="5" s="1"/>
  <c r="D83" i="2"/>
  <c r="C87" i="5" s="1"/>
  <c r="C83" i="2"/>
  <c r="B83" i="2"/>
  <c r="A83" i="2"/>
  <c r="G82" i="2"/>
  <c r="F82" i="2"/>
  <c r="E82" i="2"/>
  <c r="D86" i="5" s="1"/>
  <c r="D82" i="2"/>
  <c r="C86" i="5" s="1"/>
  <c r="C82" i="2"/>
  <c r="B82" i="2"/>
  <c r="A82" i="2"/>
  <c r="G81" i="2"/>
  <c r="F81" i="2"/>
  <c r="E81" i="2"/>
  <c r="D85" i="5" s="1"/>
  <c r="D81" i="2"/>
  <c r="C85" i="5" s="1"/>
  <c r="C81" i="2"/>
  <c r="B81" i="2"/>
  <c r="A81" i="2"/>
  <c r="G80" i="2"/>
  <c r="F80" i="2"/>
  <c r="E80" i="2"/>
  <c r="D84" i="5" s="1"/>
  <c r="D80" i="2"/>
  <c r="C84" i="5" s="1"/>
  <c r="C80" i="2"/>
  <c r="B80" i="2"/>
  <c r="A80" i="2"/>
  <c r="G79" i="2"/>
  <c r="F79" i="2"/>
  <c r="E79" i="2"/>
  <c r="D79" i="2"/>
  <c r="C83" i="5" s="1"/>
  <c r="C79" i="2"/>
  <c r="B79" i="2"/>
  <c r="A79" i="2"/>
  <c r="G78" i="2"/>
  <c r="F78" i="2"/>
  <c r="E78" i="2"/>
  <c r="D82" i="5" s="1"/>
  <c r="D78" i="2"/>
  <c r="C82" i="5" s="1"/>
  <c r="C78" i="2"/>
  <c r="B78" i="2"/>
  <c r="A78" i="2"/>
  <c r="G77" i="2"/>
  <c r="F77" i="2"/>
  <c r="E77" i="2"/>
  <c r="D81" i="5" s="1"/>
  <c r="D77" i="2"/>
  <c r="C77" i="2"/>
  <c r="B77" i="2"/>
  <c r="A77" i="2"/>
  <c r="G76" i="2"/>
  <c r="F76" i="2"/>
  <c r="E76" i="2"/>
  <c r="D80" i="5" s="1"/>
  <c r="D76" i="2"/>
  <c r="C80" i="5" s="1"/>
  <c r="C76" i="2"/>
  <c r="B76" i="2"/>
  <c r="A76" i="2"/>
  <c r="G75" i="2"/>
  <c r="F75" i="2"/>
  <c r="E75" i="2"/>
  <c r="D79" i="5" s="1"/>
  <c r="D75" i="2"/>
  <c r="C79" i="5" s="1"/>
  <c r="C75" i="2"/>
  <c r="B75" i="2"/>
  <c r="A75" i="2"/>
  <c r="G74" i="2"/>
  <c r="F74" i="2"/>
  <c r="E74" i="2"/>
  <c r="D78" i="5" s="1"/>
  <c r="D74" i="2"/>
  <c r="C78" i="5" s="1"/>
  <c r="C74" i="2"/>
  <c r="B74" i="2"/>
  <c r="A74" i="2"/>
  <c r="G73" i="2"/>
  <c r="F73" i="2"/>
  <c r="E73" i="2"/>
  <c r="D77" i="5" s="1"/>
  <c r="D73" i="2"/>
  <c r="C77" i="5" s="1"/>
  <c r="C73" i="2"/>
  <c r="B73" i="2"/>
  <c r="A73" i="2"/>
  <c r="G72" i="2"/>
  <c r="F72" i="2"/>
  <c r="E72" i="2"/>
  <c r="D76" i="5" s="1"/>
  <c r="D72" i="2"/>
  <c r="C76" i="5" s="1"/>
  <c r="C72" i="2"/>
  <c r="B72" i="2"/>
  <c r="A72" i="2"/>
  <c r="G71" i="2"/>
  <c r="F71" i="2"/>
  <c r="E71" i="2"/>
  <c r="D71" i="2"/>
  <c r="C75" i="5" s="1"/>
  <c r="C71" i="2"/>
  <c r="B71" i="2"/>
  <c r="A71" i="2"/>
  <c r="G70" i="2"/>
  <c r="F70" i="2"/>
  <c r="E70" i="2"/>
  <c r="D74" i="5" s="1"/>
  <c r="D70" i="2"/>
  <c r="C74" i="5" s="1"/>
  <c r="C70" i="2"/>
  <c r="B70" i="2"/>
  <c r="A70" i="2"/>
  <c r="G69" i="2"/>
  <c r="F69" i="2"/>
  <c r="E69" i="2"/>
  <c r="D73" i="5" s="1"/>
  <c r="D69" i="2"/>
  <c r="C69" i="2"/>
  <c r="B69" i="2"/>
  <c r="A69" i="2"/>
  <c r="G68" i="2"/>
  <c r="F68" i="2"/>
  <c r="E68" i="2"/>
  <c r="D72" i="5" s="1"/>
  <c r="D68" i="2"/>
  <c r="C72" i="5" s="1"/>
  <c r="C68" i="2"/>
  <c r="B68" i="2"/>
  <c r="A68" i="2"/>
  <c r="G67" i="2"/>
  <c r="F67" i="2"/>
  <c r="E67" i="2"/>
  <c r="D71" i="5" s="1"/>
  <c r="D67" i="2"/>
  <c r="C71" i="5" s="1"/>
  <c r="C67" i="2"/>
  <c r="B67" i="2"/>
  <c r="A67" i="2"/>
  <c r="G66" i="2"/>
  <c r="F66" i="2"/>
  <c r="E66" i="2"/>
  <c r="D70" i="5" s="1"/>
  <c r="D66" i="2"/>
  <c r="C70" i="5" s="1"/>
  <c r="C66" i="2"/>
  <c r="B66" i="2"/>
  <c r="A66" i="2"/>
  <c r="G65" i="2"/>
  <c r="F65" i="2"/>
  <c r="E65" i="2"/>
  <c r="D69" i="5" s="1"/>
  <c r="D65" i="2"/>
  <c r="C69" i="5" s="1"/>
  <c r="C65" i="2"/>
  <c r="B65" i="2"/>
  <c r="A65" i="2"/>
  <c r="A69" i="5" s="1"/>
  <c r="G64" i="2"/>
  <c r="F64" i="2"/>
  <c r="E64" i="2"/>
  <c r="D68" i="5" s="1"/>
  <c r="D64" i="2"/>
  <c r="C68" i="5" s="1"/>
  <c r="C64" i="2"/>
  <c r="B64" i="2"/>
  <c r="A64" i="2"/>
  <c r="A68" i="5" s="1"/>
  <c r="G63" i="2"/>
  <c r="F63" i="2"/>
  <c r="E63" i="2"/>
  <c r="D67" i="5" s="1"/>
  <c r="D63" i="2"/>
  <c r="C67" i="5" s="1"/>
  <c r="C63" i="2"/>
  <c r="B63" i="2"/>
  <c r="A63" i="2"/>
  <c r="A67" i="5" s="1"/>
  <c r="G62" i="2"/>
  <c r="F62" i="2"/>
  <c r="E62" i="2"/>
  <c r="D62" i="2"/>
  <c r="C62" i="2"/>
  <c r="B62" i="2"/>
  <c r="A62" i="2"/>
  <c r="A66" i="5" s="1"/>
  <c r="G61" i="2"/>
  <c r="F61" i="2"/>
  <c r="E61" i="2"/>
  <c r="D65" i="5" s="1"/>
  <c r="D61" i="2"/>
  <c r="C61" i="2"/>
  <c r="B61" i="2"/>
  <c r="A61" i="2"/>
  <c r="A65" i="5" s="1"/>
  <c r="G60" i="2"/>
  <c r="F60" i="2"/>
  <c r="E60" i="2"/>
  <c r="D64" i="5" s="1"/>
  <c r="D60" i="2"/>
  <c r="C64" i="5" s="1"/>
  <c r="C60" i="2"/>
  <c r="B60" i="2"/>
  <c r="A60" i="2"/>
  <c r="A64" i="5" s="1"/>
  <c r="G59" i="2"/>
  <c r="F59" i="2"/>
  <c r="E59" i="2"/>
  <c r="D63" i="5" s="1"/>
  <c r="D59" i="2"/>
  <c r="C63" i="5" s="1"/>
  <c r="C59" i="2"/>
  <c r="B59" i="2"/>
  <c r="A59" i="2"/>
  <c r="G58" i="2"/>
  <c r="F58" i="2"/>
  <c r="E58" i="2"/>
  <c r="D62" i="5" s="1"/>
  <c r="D58" i="2"/>
  <c r="C62" i="5" s="1"/>
  <c r="C58" i="2"/>
  <c r="B58" i="2"/>
  <c r="A58" i="2"/>
  <c r="G57" i="2"/>
  <c r="F57" i="2"/>
  <c r="E57" i="2"/>
  <c r="D61" i="5" s="1"/>
  <c r="D57" i="2"/>
  <c r="C61" i="5" s="1"/>
  <c r="C57" i="2"/>
  <c r="B57" i="2"/>
  <c r="A57" i="2"/>
  <c r="A61" i="5" s="1"/>
  <c r="G56" i="2"/>
  <c r="F56" i="2"/>
  <c r="E56" i="2"/>
  <c r="D60" i="5" s="1"/>
  <c r="D56" i="2"/>
  <c r="C60" i="5" s="1"/>
  <c r="C56" i="2"/>
  <c r="B56" i="2"/>
  <c r="A56" i="2"/>
  <c r="A60" i="5" s="1"/>
  <c r="G55" i="2"/>
  <c r="F55" i="2"/>
  <c r="E55" i="2"/>
  <c r="D59" i="5" s="1"/>
  <c r="D55" i="2"/>
  <c r="C59" i="5" s="1"/>
  <c r="C55" i="2"/>
  <c r="B55" i="2"/>
  <c r="A55" i="2"/>
  <c r="A59" i="5" s="1"/>
  <c r="G54" i="2"/>
  <c r="F54" i="2"/>
  <c r="E54" i="2"/>
  <c r="D54" i="2"/>
  <c r="C54" i="2"/>
  <c r="B54" i="2"/>
  <c r="A54" i="2"/>
  <c r="A58" i="5" s="1"/>
  <c r="G53" i="2"/>
  <c r="F53" i="2"/>
  <c r="E53" i="2"/>
  <c r="D57" i="5" s="1"/>
  <c r="D53" i="2"/>
  <c r="C53" i="2"/>
  <c r="B53" i="2"/>
  <c r="A53" i="2"/>
  <c r="A57" i="5" s="1"/>
  <c r="G52" i="2"/>
  <c r="F52" i="2"/>
  <c r="E52" i="2"/>
  <c r="D56" i="5" s="1"/>
  <c r="D52" i="2"/>
  <c r="C56" i="5" s="1"/>
  <c r="C52" i="2"/>
  <c r="B52" i="2"/>
  <c r="A52" i="2"/>
  <c r="A56" i="5" s="1"/>
  <c r="G51" i="2"/>
  <c r="F51" i="2"/>
  <c r="E51" i="2"/>
  <c r="D55" i="5" s="1"/>
  <c r="D51" i="2"/>
  <c r="C55" i="5" s="1"/>
  <c r="C51" i="2"/>
  <c r="B51" i="2"/>
  <c r="A51" i="2"/>
  <c r="G50" i="2"/>
  <c r="F50" i="2"/>
  <c r="E50" i="2"/>
  <c r="D54" i="5" s="1"/>
  <c r="D50" i="2"/>
  <c r="C54" i="5" s="1"/>
  <c r="C50" i="2"/>
  <c r="B50" i="2"/>
  <c r="A50" i="2"/>
  <c r="G49" i="2"/>
  <c r="F49" i="2"/>
  <c r="E49" i="2"/>
  <c r="D53" i="5" s="1"/>
  <c r="D49" i="2"/>
  <c r="C53" i="5" s="1"/>
  <c r="C49" i="2"/>
  <c r="B49" i="2"/>
  <c r="A49" i="2"/>
  <c r="A53" i="5" s="1"/>
  <c r="G48" i="2"/>
  <c r="F48" i="2"/>
  <c r="E48" i="2"/>
  <c r="D52" i="5" s="1"/>
  <c r="D48" i="2"/>
  <c r="C52" i="5" s="1"/>
  <c r="C48" i="2"/>
  <c r="B48" i="2"/>
  <c r="A48" i="2"/>
  <c r="A52" i="5" s="1"/>
  <c r="G47" i="2"/>
  <c r="F47" i="2"/>
  <c r="E47" i="2"/>
  <c r="D51" i="5" s="1"/>
  <c r="D47" i="2"/>
  <c r="C51" i="5" s="1"/>
  <c r="C47" i="2"/>
  <c r="B47" i="2"/>
  <c r="A47" i="2"/>
  <c r="A51" i="5" s="1"/>
  <c r="G46" i="2"/>
  <c r="F46" i="2"/>
  <c r="E46" i="2"/>
  <c r="D46" i="2"/>
  <c r="C46" i="2"/>
  <c r="B46" i="2"/>
  <c r="A46" i="2"/>
  <c r="A50" i="5" s="1"/>
  <c r="G45" i="2"/>
  <c r="F45" i="2"/>
  <c r="E45" i="2"/>
  <c r="D49" i="5" s="1"/>
  <c r="D45" i="2"/>
  <c r="C45" i="2"/>
  <c r="B45" i="2"/>
  <c r="A45" i="2"/>
  <c r="A49" i="5" s="1"/>
  <c r="G44" i="2"/>
  <c r="F44" i="2"/>
  <c r="E44" i="2"/>
  <c r="D48" i="5" s="1"/>
  <c r="D44" i="2"/>
  <c r="C48" i="5" s="1"/>
  <c r="C44" i="2"/>
  <c r="B44" i="2"/>
  <c r="A44" i="2"/>
  <c r="A48" i="5" s="1"/>
  <c r="G43" i="2"/>
  <c r="F43" i="2"/>
  <c r="E43" i="2"/>
  <c r="D47" i="5" s="1"/>
  <c r="D43" i="2"/>
  <c r="C47" i="5" s="1"/>
  <c r="C43" i="2"/>
  <c r="B43" i="2"/>
  <c r="A43" i="2"/>
  <c r="G42" i="2"/>
  <c r="F42" i="2"/>
  <c r="E42" i="2"/>
  <c r="D46" i="5" s="1"/>
  <c r="D42" i="2"/>
  <c r="C46" i="5" s="1"/>
  <c r="C42" i="2"/>
  <c r="B42" i="2"/>
  <c r="A42" i="2"/>
  <c r="G41" i="2"/>
  <c r="F41" i="2"/>
  <c r="E41" i="2"/>
  <c r="D45" i="5" s="1"/>
  <c r="D41" i="2"/>
  <c r="C45" i="5" s="1"/>
  <c r="C41" i="2"/>
  <c r="B41" i="2"/>
  <c r="A41" i="2"/>
  <c r="A45" i="5" s="1"/>
  <c r="G40" i="2"/>
  <c r="F40" i="2"/>
  <c r="E40" i="2"/>
  <c r="D44" i="5" s="1"/>
  <c r="D40" i="2"/>
  <c r="C44" i="5" s="1"/>
  <c r="C40" i="2"/>
  <c r="B40" i="2"/>
  <c r="A40" i="2"/>
  <c r="A44" i="5" s="1"/>
  <c r="G39" i="2"/>
  <c r="F39" i="2"/>
  <c r="E39" i="2"/>
  <c r="D43" i="5" s="1"/>
  <c r="D39" i="2"/>
  <c r="C43" i="5" s="1"/>
  <c r="C39" i="2"/>
  <c r="A39" i="2"/>
  <c r="A43" i="5" s="1"/>
  <c r="G38" i="2"/>
  <c r="F38" i="2"/>
  <c r="E38" i="2"/>
  <c r="D42" i="5" s="1"/>
  <c r="D38" i="2"/>
  <c r="C38" i="2"/>
  <c r="B38" i="2"/>
  <c r="A38" i="2"/>
  <c r="A42" i="5" s="1"/>
  <c r="G37" i="2"/>
  <c r="F37" i="2"/>
  <c r="E37" i="2"/>
  <c r="D41" i="5" s="1"/>
  <c r="D37" i="2"/>
  <c r="C41" i="5" s="1"/>
  <c r="C37" i="2"/>
  <c r="B37" i="2"/>
  <c r="A37" i="2"/>
  <c r="A41" i="5" s="1"/>
  <c r="G36" i="2"/>
  <c r="F36" i="2"/>
  <c r="E36" i="2"/>
  <c r="D40" i="5" s="1"/>
  <c r="D36" i="2"/>
  <c r="C40" i="5" s="1"/>
  <c r="C36" i="2"/>
  <c r="B36" i="2"/>
  <c r="A36" i="2"/>
  <c r="A40" i="5" s="1"/>
  <c r="G35" i="2"/>
  <c r="F35" i="2"/>
  <c r="E35" i="2"/>
  <c r="D39" i="5" s="1"/>
  <c r="D35" i="2"/>
  <c r="C39" i="5" s="1"/>
  <c r="C35" i="2"/>
  <c r="B35" i="2"/>
  <c r="A35" i="2"/>
  <c r="G34" i="2"/>
  <c r="F34" i="2"/>
  <c r="E38" i="5" s="1"/>
  <c r="E34" i="2"/>
  <c r="D38" i="5" s="1"/>
  <c r="D34" i="2"/>
  <c r="C38" i="5" s="1"/>
  <c r="C34" i="2"/>
  <c r="B34" i="2"/>
  <c r="A34" i="2"/>
  <c r="A38" i="5" s="1"/>
  <c r="G33" i="2"/>
  <c r="F33" i="2"/>
  <c r="E33" i="2"/>
  <c r="D37" i="5" s="1"/>
  <c r="D33" i="2"/>
  <c r="C37" i="5" s="1"/>
  <c r="C33" i="2"/>
  <c r="B33" i="2"/>
  <c r="A33" i="2"/>
  <c r="A37" i="5" s="1"/>
  <c r="G32" i="2"/>
  <c r="F32" i="2"/>
  <c r="E32" i="2"/>
  <c r="D32" i="2"/>
  <c r="C36" i="5" s="1"/>
  <c r="C32" i="2"/>
  <c r="B32" i="2"/>
  <c r="A32" i="2"/>
  <c r="A36" i="5" s="1"/>
  <c r="G31" i="2"/>
  <c r="F31" i="2"/>
  <c r="E35" i="5" s="1"/>
  <c r="E31" i="2"/>
  <c r="D31" i="2"/>
  <c r="C31" i="2"/>
  <c r="B31" i="2"/>
  <c r="A31" i="2"/>
  <c r="A35" i="5" s="1"/>
  <c r="G30" i="2"/>
  <c r="F30" i="2"/>
  <c r="E34" i="5" s="1"/>
  <c r="E30" i="2"/>
  <c r="D34" i="5" s="1"/>
  <c r="D30" i="2"/>
  <c r="C30" i="2"/>
  <c r="B30" i="2"/>
  <c r="A30" i="2"/>
  <c r="A34" i="5" s="1"/>
  <c r="G29" i="2"/>
  <c r="F29" i="2"/>
  <c r="E33" i="5" s="1"/>
  <c r="E29" i="2"/>
  <c r="D33" i="5" s="1"/>
  <c r="D29" i="2"/>
  <c r="C33" i="5" s="1"/>
  <c r="C29" i="2"/>
  <c r="B29" i="2"/>
  <c r="A29" i="2"/>
  <c r="A33" i="5" s="1"/>
  <c r="G28" i="2"/>
  <c r="F28" i="2"/>
  <c r="E32" i="5" s="1"/>
  <c r="E28" i="2"/>
  <c r="D28" i="2"/>
  <c r="C32" i="5" s="1"/>
  <c r="C28" i="2"/>
  <c r="B28" i="2"/>
  <c r="A28" i="2"/>
  <c r="A32" i="5" s="1"/>
  <c r="G27" i="2"/>
  <c r="F27" i="2"/>
  <c r="E31" i="5" s="1"/>
  <c r="E27" i="2"/>
  <c r="D31" i="5" s="1"/>
  <c r="D27" i="2"/>
  <c r="C27" i="2"/>
  <c r="B27" i="2"/>
  <c r="A27" i="2"/>
  <c r="G26" i="2"/>
  <c r="F26" i="2"/>
  <c r="E30" i="5" s="1"/>
  <c r="E26" i="2"/>
  <c r="D30" i="5" s="1"/>
  <c r="D26" i="2"/>
  <c r="C30" i="5" s="1"/>
  <c r="C26" i="2"/>
  <c r="B26" i="2"/>
  <c r="A26" i="2"/>
  <c r="A30" i="5" s="1"/>
  <c r="G25" i="2"/>
  <c r="F25" i="2"/>
  <c r="E25" i="2"/>
  <c r="D29" i="5" s="1"/>
  <c r="D25" i="2"/>
  <c r="C29" i="5" s="1"/>
  <c r="C25" i="2"/>
  <c r="B25" i="2"/>
  <c r="A25" i="2"/>
  <c r="A29" i="5" s="1"/>
  <c r="G24" i="2"/>
  <c r="F28" i="5" s="1"/>
  <c r="F24" i="2"/>
  <c r="E24" i="2"/>
  <c r="D24" i="2"/>
  <c r="C28" i="5" s="1"/>
  <c r="C24" i="2"/>
  <c r="B28" i="5" s="1"/>
  <c r="B24" i="2"/>
  <c r="A24" i="2"/>
  <c r="G23" i="2"/>
  <c r="F27" i="5" s="1"/>
  <c r="F23" i="2"/>
  <c r="E27" i="5" s="1"/>
  <c r="E23" i="2"/>
  <c r="D23" i="2"/>
  <c r="C27" i="5" s="1"/>
  <c r="C23" i="2"/>
  <c r="B27" i="5" s="1"/>
  <c r="B23" i="2"/>
  <c r="A23" i="2"/>
  <c r="A27" i="5" s="1"/>
  <c r="G22" i="2"/>
  <c r="F22" i="2"/>
  <c r="E26" i="5" s="1"/>
  <c r="E22" i="2"/>
  <c r="D26" i="5" s="1"/>
  <c r="D22" i="2"/>
  <c r="C26" i="5" s="1"/>
  <c r="C22" i="2"/>
  <c r="B26" i="5" s="1"/>
  <c r="B22" i="2"/>
  <c r="A22" i="2"/>
  <c r="A26" i="5" s="1"/>
  <c r="G21" i="2"/>
  <c r="F25" i="5" s="1"/>
  <c r="F21" i="2"/>
  <c r="E21" i="2"/>
  <c r="D25" i="5" s="1"/>
  <c r="D21" i="2"/>
  <c r="C25" i="5" s="1"/>
  <c r="C21" i="2"/>
  <c r="B25" i="5" s="1"/>
  <c r="B21" i="2"/>
  <c r="A21" i="2"/>
  <c r="A25" i="5" s="1"/>
  <c r="G20" i="2"/>
  <c r="F24" i="5" s="1"/>
  <c r="F20" i="2"/>
  <c r="E24" i="5" s="1"/>
  <c r="E20" i="2"/>
  <c r="D20" i="2"/>
  <c r="C24" i="5" s="1"/>
  <c r="C20" i="2"/>
  <c r="B24" i="5" s="1"/>
  <c r="B20" i="2"/>
  <c r="A20" i="2"/>
  <c r="G19" i="2"/>
  <c r="F23" i="5" s="1"/>
  <c r="F19" i="2"/>
  <c r="E23" i="5" s="1"/>
  <c r="E19" i="2"/>
  <c r="D23" i="5" s="1"/>
  <c r="D19" i="2"/>
  <c r="C23" i="5" s="1"/>
  <c r="C19" i="2"/>
  <c r="B23" i="5" s="1"/>
  <c r="B19" i="2"/>
  <c r="A19" i="2"/>
  <c r="G18" i="2"/>
  <c r="F18" i="2"/>
  <c r="E22" i="5" s="1"/>
  <c r="E18" i="2"/>
  <c r="D22" i="5" s="1"/>
  <c r="D18" i="2"/>
  <c r="C22" i="5" s="1"/>
  <c r="C18" i="2"/>
  <c r="B22" i="5" s="1"/>
  <c r="B18" i="2"/>
  <c r="A18" i="2"/>
  <c r="A22" i="5" s="1"/>
  <c r="G17" i="2"/>
  <c r="F17" i="2"/>
  <c r="E17" i="2"/>
  <c r="D21" i="5" s="1"/>
  <c r="D17" i="2"/>
  <c r="C21" i="5" s="1"/>
  <c r="C17" i="2"/>
  <c r="B21" i="5" s="1"/>
  <c r="B17" i="2"/>
  <c r="A17" i="2"/>
  <c r="A21" i="5" s="1"/>
  <c r="G16" i="2"/>
  <c r="F20" i="5" s="1"/>
  <c r="F16" i="2"/>
  <c r="E16" i="2"/>
  <c r="D16" i="2"/>
  <c r="C20" i="5" s="1"/>
  <c r="C16" i="2"/>
  <c r="B20" i="5" s="1"/>
  <c r="B16" i="2"/>
  <c r="A16" i="2"/>
  <c r="G15" i="2"/>
  <c r="F15" i="2"/>
  <c r="E19" i="5" s="1"/>
  <c r="E15" i="2"/>
  <c r="D15" i="2"/>
  <c r="C19" i="5" s="1"/>
  <c r="C15" i="2"/>
  <c r="B19" i="5" s="1"/>
  <c r="B15" i="2"/>
  <c r="A15" i="2"/>
  <c r="A19" i="5" s="1"/>
  <c r="G14" i="2"/>
  <c r="F14" i="2"/>
  <c r="E14" i="2"/>
  <c r="D18" i="5" s="1"/>
  <c r="D14" i="2"/>
  <c r="C18" i="5" s="1"/>
  <c r="C14" i="2"/>
  <c r="B18" i="5" s="1"/>
  <c r="B14" i="2"/>
  <c r="A14" i="2"/>
  <c r="A18" i="5" s="1"/>
  <c r="G13" i="2"/>
  <c r="F17" i="5" s="1"/>
  <c r="F13" i="2"/>
  <c r="E13" i="2"/>
  <c r="D13" i="2"/>
  <c r="C17" i="5" s="1"/>
  <c r="C13" i="2"/>
  <c r="B17" i="5" s="1"/>
  <c r="B13" i="2"/>
  <c r="A13" i="2"/>
  <c r="A17" i="5" s="1"/>
  <c r="G12" i="2"/>
  <c r="F16" i="5" s="1"/>
  <c r="F12" i="2"/>
  <c r="E16" i="5" s="1"/>
  <c r="E12" i="2"/>
  <c r="D12" i="2"/>
  <c r="C16" i="5" s="1"/>
  <c r="C12" i="2"/>
  <c r="B16" i="5" s="1"/>
  <c r="B12" i="2"/>
  <c r="A12" i="2"/>
  <c r="G11" i="2"/>
  <c r="F15" i="5" s="1"/>
  <c r="F11" i="2"/>
  <c r="E15" i="5" s="1"/>
  <c r="E11" i="2"/>
  <c r="D15" i="5" s="1"/>
  <c r="D11" i="2"/>
  <c r="C15" i="5" s="1"/>
  <c r="C11" i="2"/>
  <c r="B15" i="5" s="1"/>
  <c r="B11" i="2"/>
  <c r="A11" i="2"/>
  <c r="G10" i="2"/>
  <c r="F10" i="2"/>
  <c r="E14" i="5" s="1"/>
  <c r="E10" i="2"/>
  <c r="D14" i="5" s="1"/>
  <c r="D10" i="2"/>
  <c r="C14" i="5" s="1"/>
  <c r="C10" i="2"/>
  <c r="B14" i="5" s="1"/>
  <c r="B10" i="2"/>
  <c r="A10" i="2"/>
  <c r="A14" i="5" s="1"/>
  <c r="G9" i="2"/>
  <c r="F9" i="2"/>
  <c r="E9" i="2"/>
  <c r="D13" i="5" s="1"/>
  <c r="D9" i="2"/>
  <c r="C13" i="5" s="1"/>
  <c r="C9" i="2"/>
  <c r="B13" i="5" s="1"/>
  <c r="B9" i="2"/>
  <c r="A9" i="2"/>
  <c r="G8" i="2"/>
  <c r="F12" i="5" s="1"/>
  <c r="F8" i="2"/>
  <c r="E8" i="2"/>
  <c r="D8" i="2"/>
  <c r="C12" i="5" s="1"/>
  <c r="C8" i="2"/>
  <c r="B12" i="5" s="1"/>
  <c r="B8" i="2"/>
  <c r="A8" i="2"/>
  <c r="G7" i="2"/>
  <c r="F7" i="2"/>
  <c r="E11" i="5" s="1"/>
  <c r="E7" i="2"/>
  <c r="E17" i="1" s="1"/>
  <c r="D7" i="2"/>
  <c r="C11" i="5" s="1"/>
  <c r="C7" i="2"/>
  <c r="B11" i="5" s="1"/>
  <c r="B7" i="2"/>
  <c r="A7" i="2"/>
  <c r="A11" i="5" s="1"/>
  <c r="G6" i="2"/>
  <c r="F6" i="2"/>
  <c r="E6" i="2"/>
  <c r="D10" i="5" s="1"/>
  <c r="D6" i="2"/>
  <c r="C10" i="5" s="1"/>
  <c r="C6" i="2"/>
  <c r="B10" i="5" s="1"/>
  <c r="B6" i="2"/>
  <c r="A6" i="2"/>
  <c r="A10" i="5" s="1"/>
  <c r="G5" i="2"/>
  <c r="F9" i="5" s="1"/>
  <c r="F5" i="2"/>
  <c r="E5" i="2"/>
  <c r="D5" i="2"/>
  <c r="C9" i="5" s="1"/>
  <c r="C5" i="2"/>
  <c r="B9" i="5" s="1"/>
  <c r="B5" i="2"/>
  <c r="A5" i="2"/>
  <c r="A9" i="5" s="1"/>
  <c r="G4" i="2"/>
  <c r="F8" i="5" s="1"/>
  <c r="F4" i="2"/>
  <c r="E8" i="5" s="1"/>
  <c r="E4" i="2"/>
  <c r="D4" i="2"/>
  <c r="C8" i="5" s="1"/>
  <c r="C4" i="2"/>
  <c r="B8" i="5" s="1"/>
  <c r="B4" i="2"/>
  <c r="A4" i="2"/>
  <c r="G3" i="2"/>
  <c r="F7" i="5" s="1"/>
  <c r="F3" i="2"/>
  <c r="E7" i="5" s="1"/>
  <c r="E3" i="2"/>
  <c r="D7" i="5" s="1"/>
  <c r="D3" i="2"/>
  <c r="C7" i="5" s="1"/>
  <c r="C3" i="2"/>
  <c r="B7" i="5" s="1"/>
  <c r="B3" i="2"/>
  <c r="A3" i="2"/>
  <c r="G2" i="2"/>
  <c r="F2" i="2"/>
  <c r="E6" i="5" s="1"/>
  <c r="E2" i="2"/>
  <c r="D6" i="5" s="1"/>
  <c r="D2" i="2"/>
  <c r="C6" i="5" s="1"/>
  <c r="C2" i="2"/>
  <c r="B6" i="5" s="1"/>
  <c r="B2" i="2"/>
  <c r="A2" i="2"/>
  <c r="A6" i="5" s="1"/>
  <c r="G1" i="2"/>
  <c r="F5" i="5" s="1"/>
  <c r="F1" i="2"/>
  <c r="E1" i="2"/>
  <c r="D5" i="5" s="1"/>
  <c r="D1" i="2"/>
  <c r="C5" i="5" s="1"/>
  <c r="C1" i="2"/>
  <c r="B5" i="5" s="1"/>
  <c r="B1" i="2"/>
  <c r="A1" i="2"/>
  <c r="J456" i="1"/>
  <c r="G456" i="1"/>
  <c r="F456" i="1"/>
  <c r="E456" i="1"/>
  <c r="D456" i="1"/>
  <c r="C456" i="1"/>
  <c r="B456" i="1"/>
  <c r="H456" i="1" s="1"/>
  <c r="A456" i="1"/>
  <c r="J455" i="1"/>
  <c r="G455" i="1"/>
  <c r="F455" i="1"/>
  <c r="E455" i="1"/>
  <c r="D455" i="1"/>
  <c r="C455" i="1"/>
  <c r="B455" i="1"/>
  <c r="A455" i="1"/>
  <c r="G454" i="1"/>
  <c r="J454" i="1" s="1"/>
  <c r="F454" i="1"/>
  <c r="E454" i="1"/>
  <c r="D454" i="1"/>
  <c r="C454" i="1"/>
  <c r="B454" i="1"/>
  <c r="A454" i="1"/>
  <c r="H453" i="1"/>
  <c r="G453" i="1"/>
  <c r="J453" i="1" s="1"/>
  <c r="F453" i="1"/>
  <c r="E453" i="1"/>
  <c r="D453" i="1"/>
  <c r="C453" i="1"/>
  <c r="B453" i="1"/>
  <c r="A453" i="1"/>
  <c r="J452" i="1"/>
  <c r="H452" i="1"/>
  <c r="G452" i="1"/>
  <c r="F452" i="1"/>
  <c r="E452" i="1"/>
  <c r="D452" i="1"/>
  <c r="C452" i="1"/>
  <c r="B452" i="1"/>
  <c r="A452" i="1"/>
  <c r="J451" i="1"/>
  <c r="G451" i="1"/>
  <c r="F451" i="1"/>
  <c r="E451" i="1"/>
  <c r="D451" i="1"/>
  <c r="C451" i="1"/>
  <c r="B451" i="1"/>
  <c r="H451" i="1" s="1"/>
  <c r="A451" i="1"/>
  <c r="H450" i="1"/>
  <c r="G450" i="1"/>
  <c r="J450" i="1" s="1"/>
  <c r="F450" i="1"/>
  <c r="E450" i="1"/>
  <c r="D450" i="1"/>
  <c r="C450" i="1"/>
  <c r="B450" i="1"/>
  <c r="A450" i="1"/>
  <c r="J449" i="1"/>
  <c r="H449" i="1"/>
  <c r="G449" i="1"/>
  <c r="F449" i="1"/>
  <c r="E449" i="1"/>
  <c r="D449" i="1"/>
  <c r="C449" i="1"/>
  <c r="B449" i="1"/>
  <c r="A449" i="1"/>
  <c r="J448" i="1"/>
  <c r="G448" i="1"/>
  <c r="F448" i="1"/>
  <c r="E448" i="1"/>
  <c r="D448" i="1"/>
  <c r="C448" i="1"/>
  <c r="B448" i="1"/>
  <c r="H448" i="1" s="1"/>
  <c r="A448" i="1"/>
  <c r="J447" i="1"/>
  <c r="G447" i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B446" i="1"/>
  <c r="A446" i="1"/>
  <c r="H445" i="1"/>
  <c r="G445" i="1"/>
  <c r="J445" i="1" s="1"/>
  <c r="F445" i="1"/>
  <c r="E445" i="1"/>
  <c r="D445" i="1"/>
  <c r="C445" i="1"/>
  <c r="B445" i="1"/>
  <c r="A445" i="1"/>
  <c r="J444" i="1"/>
  <c r="H444" i="1"/>
  <c r="G444" i="1"/>
  <c r="F444" i="1"/>
  <c r="E444" i="1"/>
  <c r="D444" i="1"/>
  <c r="C444" i="1"/>
  <c r="B444" i="1"/>
  <c r="A444" i="1"/>
  <c r="G443" i="1"/>
  <c r="J443" i="1" s="1"/>
  <c r="F443" i="1"/>
  <c r="E443" i="1"/>
  <c r="D443" i="1"/>
  <c r="C443" i="1"/>
  <c r="B443" i="1"/>
  <c r="H443" i="1" s="1"/>
  <c r="A443" i="1"/>
  <c r="H442" i="1"/>
  <c r="G442" i="1"/>
  <c r="J442" i="1" s="1"/>
  <c r="F442" i="1"/>
  <c r="E442" i="1"/>
  <c r="D442" i="1"/>
  <c r="C442" i="1"/>
  <c r="B442" i="1"/>
  <c r="A442" i="1"/>
  <c r="J441" i="1"/>
  <c r="H441" i="1"/>
  <c r="G441" i="1"/>
  <c r="F441" i="1"/>
  <c r="E441" i="1"/>
  <c r="D441" i="1"/>
  <c r="C441" i="1"/>
  <c r="B441" i="1"/>
  <c r="A441" i="1"/>
  <c r="J440" i="1"/>
  <c r="G440" i="1"/>
  <c r="F440" i="1"/>
  <c r="E440" i="1"/>
  <c r="D440" i="1"/>
  <c r="C440" i="1"/>
  <c r="B440" i="1"/>
  <c r="H440" i="1" s="1"/>
  <c r="A440" i="1"/>
  <c r="J439" i="1"/>
  <c r="G439" i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B438" i="1"/>
  <c r="H438" i="1" s="1"/>
  <c r="A438" i="1"/>
  <c r="H437" i="1"/>
  <c r="G437" i="1"/>
  <c r="J437" i="1" s="1"/>
  <c r="F437" i="1"/>
  <c r="E437" i="1"/>
  <c r="D437" i="1"/>
  <c r="C437" i="1"/>
  <c r="B437" i="1"/>
  <c r="A437" i="1"/>
  <c r="J436" i="1"/>
  <c r="H436" i="1"/>
  <c r="G436" i="1"/>
  <c r="F436" i="1"/>
  <c r="E436" i="1"/>
  <c r="D436" i="1"/>
  <c r="C436" i="1"/>
  <c r="B436" i="1"/>
  <c r="A436" i="1"/>
  <c r="G435" i="1"/>
  <c r="J435" i="1" s="1"/>
  <c r="F435" i="1"/>
  <c r="E435" i="1"/>
  <c r="D435" i="1"/>
  <c r="C435" i="1"/>
  <c r="B435" i="1"/>
  <c r="H435" i="1" s="1"/>
  <c r="A435" i="1"/>
  <c r="G434" i="1"/>
  <c r="J434" i="1" s="1"/>
  <c r="F434" i="1"/>
  <c r="E434" i="1"/>
  <c r="D434" i="1"/>
  <c r="C434" i="1"/>
  <c r="B434" i="1"/>
  <c r="H434" i="1" s="1"/>
  <c r="A434" i="1"/>
  <c r="J433" i="1"/>
  <c r="G433" i="1"/>
  <c r="F433" i="1"/>
  <c r="E433" i="1"/>
  <c r="D433" i="1"/>
  <c r="C433" i="1"/>
  <c r="H433" i="1" s="1"/>
  <c r="B433" i="1"/>
  <c r="A433" i="1"/>
  <c r="J432" i="1"/>
  <c r="G432" i="1"/>
  <c r="F432" i="1"/>
  <c r="E432" i="1"/>
  <c r="D432" i="1"/>
  <c r="C432" i="1"/>
  <c r="B432" i="1"/>
  <c r="H432" i="1" s="1"/>
  <c r="A432" i="1"/>
  <c r="J431" i="1"/>
  <c r="G431" i="1"/>
  <c r="F431" i="1"/>
  <c r="E431" i="1"/>
  <c r="D431" i="1"/>
  <c r="C431" i="1"/>
  <c r="B431" i="1"/>
  <c r="A431" i="1"/>
  <c r="G430" i="1"/>
  <c r="J430" i="1" s="1"/>
  <c r="F430" i="1"/>
  <c r="E430" i="1"/>
  <c r="D430" i="1"/>
  <c r="C430" i="1"/>
  <c r="B430" i="1"/>
  <c r="H430" i="1" s="1"/>
  <c r="A430" i="1"/>
  <c r="H429" i="1"/>
  <c r="G429" i="1"/>
  <c r="J429" i="1" s="1"/>
  <c r="F429" i="1"/>
  <c r="E429" i="1"/>
  <c r="D429" i="1"/>
  <c r="C429" i="1"/>
  <c r="B429" i="1"/>
  <c r="A429" i="1"/>
  <c r="J428" i="1"/>
  <c r="H428" i="1"/>
  <c r="G428" i="1"/>
  <c r="F428" i="1"/>
  <c r="E428" i="1"/>
  <c r="D428" i="1"/>
  <c r="C428" i="1"/>
  <c r="B428" i="1"/>
  <c r="A428" i="1"/>
  <c r="G427" i="1"/>
  <c r="J427" i="1" s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H426" i="1" s="1"/>
  <c r="B426" i="1"/>
  <c r="A426" i="1"/>
  <c r="J425" i="1"/>
  <c r="H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H424" i="1" s="1"/>
  <c r="A424" i="1"/>
  <c r="J423" i="1"/>
  <c r="G423" i="1"/>
  <c r="F423" i="1"/>
  <c r="E423" i="1"/>
  <c r="D423" i="1"/>
  <c r="C423" i="1"/>
  <c r="B423" i="1"/>
  <c r="H423" i="1" s="1"/>
  <c r="A423" i="1"/>
  <c r="G422" i="1"/>
  <c r="J422" i="1" s="1"/>
  <c r="F422" i="1"/>
  <c r="E422" i="1"/>
  <c r="D422" i="1"/>
  <c r="C422" i="1"/>
  <c r="B422" i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J419" i="1"/>
  <c r="G419" i="1"/>
  <c r="F419" i="1"/>
  <c r="E419" i="1"/>
  <c r="D419" i="1"/>
  <c r="C419" i="1"/>
  <c r="B419" i="1"/>
  <c r="H419" i="1" s="1"/>
  <c r="A419" i="1"/>
  <c r="H418" i="1"/>
  <c r="G418" i="1"/>
  <c r="J418" i="1" s="1"/>
  <c r="F418" i="1"/>
  <c r="E418" i="1"/>
  <c r="D418" i="1"/>
  <c r="C418" i="1"/>
  <c r="B418" i="1"/>
  <c r="A418" i="1"/>
  <c r="J417" i="1"/>
  <c r="G417" i="1"/>
  <c r="F417" i="1"/>
  <c r="E417" i="1"/>
  <c r="D417" i="1"/>
  <c r="C417" i="1"/>
  <c r="H417" i="1" s="1"/>
  <c r="B417" i="1"/>
  <c r="A417" i="1"/>
  <c r="J416" i="1"/>
  <c r="G416" i="1"/>
  <c r="F416" i="1"/>
  <c r="E416" i="1"/>
  <c r="D416" i="1"/>
  <c r="C416" i="1"/>
  <c r="B416" i="1"/>
  <c r="H416" i="1" s="1"/>
  <c r="A416" i="1"/>
  <c r="J415" i="1"/>
  <c r="G415" i="1"/>
  <c r="F415" i="1"/>
  <c r="E415" i="1"/>
  <c r="D415" i="1"/>
  <c r="C415" i="1"/>
  <c r="B415" i="1"/>
  <c r="H415" i="1" s="1"/>
  <c r="A415" i="1"/>
  <c r="G414" i="1"/>
  <c r="J414" i="1" s="1"/>
  <c r="F414" i="1"/>
  <c r="E414" i="1"/>
  <c r="D414" i="1"/>
  <c r="C414" i="1"/>
  <c r="B414" i="1"/>
  <c r="H414" i="1" s="1"/>
  <c r="A414" i="1"/>
  <c r="H413" i="1"/>
  <c r="G413" i="1"/>
  <c r="J413" i="1" s="1"/>
  <c r="F413" i="1"/>
  <c r="E413" i="1"/>
  <c r="D413" i="1"/>
  <c r="C413" i="1"/>
  <c r="B413" i="1"/>
  <c r="A413" i="1"/>
  <c r="J412" i="1"/>
  <c r="H412" i="1"/>
  <c r="G412" i="1"/>
  <c r="F412" i="1"/>
  <c r="E412" i="1"/>
  <c r="D412" i="1"/>
  <c r="C412" i="1"/>
  <c r="B412" i="1"/>
  <c r="A412" i="1"/>
  <c r="J411" i="1"/>
  <c r="G411" i="1"/>
  <c r="F411" i="1"/>
  <c r="E411" i="1"/>
  <c r="D411" i="1"/>
  <c r="C411" i="1"/>
  <c r="B411" i="1"/>
  <c r="H411" i="1" s="1"/>
  <c r="A411" i="1"/>
  <c r="G410" i="1"/>
  <c r="J410" i="1" s="1"/>
  <c r="F410" i="1"/>
  <c r="E410" i="1"/>
  <c r="D410" i="1"/>
  <c r="C410" i="1"/>
  <c r="B410" i="1"/>
  <c r="H410" i="1" s="1"/>
  <c r="A410" i="1"/>
  <c r="J409" i="1"/>
  <c r="G409" i="1"/>
  <c r="F409" i="1"/>
  <c r="E409" i="1"/>
  <c r="D409" i="1"/>
  <c r="C409" i="1"/>
  <c r="H409" i="1" s="1"/>
  <c r="B409" i="1"/>
  <c r="A409" i="1"/>
  <c r="J408" i="1"/>
  <c r="G408" i="1"/>
  <c r="F408" i="1"/>
  <c r="E408" i="1"/>
  <c r="D408" i="1"/>
  <c r="C408" i="1"/>
  <c r="B408" i="1"/>
  <c r="H408" i="1" s="1"/>
  <c r="A408" i="1"/>
  <c r="J407" i="1"/>
  <c r="G407" i="1"/>
  <c r="F407" i="1"/>
  <c r="E407" i="1"/>
  <c r="D407" i="1"/>
  <c r="C407" i="1"/>
  <c r="B407" i="1"/>
  <c r="H407" i="1" s="1"/>
  <c r="A407" i="1"/>
  <c r="G406" i="1"/>
  <c r="J406" i="1" s="1"/>
  <c r="F406" i="1"/>
  <c r="E406" i="1"/>
  <c r="D406" i="1"/>
  <c r="C406" i="1"/>
  <c r="B406" i="1"/>
  <c r="H406" i="1" s="1"/>
  <c r="A406" i="1"/>
  <c r="H405" i="1"/>
  <c r="G405" i="1"/>
  <c r="J405" i="1" s="1"/>
  <c r="F405" i="1"/>
  <c r="E405" i="1"/>
  <c r="D405" i="1"/>
  <c r="C405" i="1"/>
  <c r="B405" i="1"/>
  <c r="A405" i="1"/>
  <c r="J404" i="1"/>
  <c r="H404" i="1"/>
  <c r="G404" i="1"/>
  <c r="F404" i="1"/>
  <c r="E404" i="1"/>
  <c r="D404" i="1"/>
  <c r="C404" i="1"/>
  <c r="B404" i="1"/>
  <c r="A404" i="1"/>
  <c r="G403" i="1"/>
  <c r="J403" i="1" s="1"/>
  <c r="F403" i="1"/>
  <c r="E403" i="1"/>
  <c r="D403" i="1"/>
  <c r="C403" i="1"/>
  <c r="B403" i="1"/>
  <c r="H403" i="1" s="1"/>
  <c r="A403" i="1"/>
  <c r="G402" i="1"/>
  <c r="J402" i="1" s="1"/>
  <c r="F402" i="1"/>
  <c r="E402" i="1"/>
  <c r="D402" i="1"/>
  <c r="C402" i="1"/>
  <c r="B402" i="1"/>
  <c r="H402" i="1" s="1"/>
  <c r="A402" i="1"/>
  <c r="J401" i="1"/>
  <c r="G401" i="1"/>
  <c r="F401" i="1"/>
  <c r="E401" i="1"/>
  <c r="D401" i="1"/>
  <c r="C401" i="1"/>
  <c r="H401" i="1" s="1"/>
  <c r="B401" i="1"/>
  <c r="A401" i="1"/>
  <c r="J400" i="1"/>
  <c r="G400" i="1"/>
  <c r="F400" i="1"/>
  <c r="E400" i="1"/>
  <c r="D400" i="1"/>
  <c r="C400" i="1"/>
  <c r="B400" i="1"/>
  <c r="H400" i="1" s="1"/>
  <c r="A400" i="1"/>
  <c r="J399" i="1"/>
  <c r="G399" i="1"/>
  <c r="F399" i="1"/>
  <c r="E399" i="1"/>
  <c r="D399" i="1"/>
  <c r="C399" i="1"/>
  <c r="B399" i="1"/>
  <c r="A399" i="1"/>
  <c r="G398" i="1"/>
  <c r="J398" i="1" s="1"/>
  <c r="F398" i="1"/>
  <c r="E398" i="1"/>
  <c r="D398" i="1"/>
  <c r="C398" i="1"/>
  <c r="B398" i="1"/>
  <c r="H398" i="1" s="1"/>
  <c r="A398" i="1"/>
  <c r="H397" i="1"/>
  <c r="G397" i="1"/>
  <c r="J397" i="1" s="1"/>
  <c r="F397" i="1"/>
  <c r="E397" i="1"/>
  <c r="D397" i="1"/>
  <c r="C397" i="1"/>
  <c r="B397" i="1"/>
  <c r="A397" i="1"/>
  <c r="J396" i="1"/>
  <c r="H396" i="1"/>
  <c r="G396" i="1"/>
  <c r="F396" i="1"/>
  <c r="E396" i="1"/>
  <c r="D396" i="1"/>
  <c r="C396" i="1"/>
  <c r="B396" i="1"/>
  <c r="A396" i="1"/>
  <c r="G395" i="1"/>
  <c r="J395" i="1" s="1"/>
  <c r="F395" i="1"/>
  <c r="E395" i="1"/>
  <c r="D395" i="1"/>
  <c r="C395" i="1"/>
  <c r="B395" i="1"/>
  <c r="H395" i="1" s="1"/>
  <c r="A395" i="1"/>
  <c r="G394" i="1"/>
  <c r="J394" i="1" s="1"/>
  <c r="F394" i="1"/>
  <c r="E394" i="1"/>
  <c r="D394" i="1"/>
  <c r="C394" i="1"/>
  <c r="H394" i="1" s="1"/>
  <c r="B394" i="1"/>
  <c r="A394" i="1"/>
  <c r="J393" i="1"/>
  <c r="H393" i="1"/>
  <c r="G393" i="1"/>
  <c r="F393" i="1"/>
  <c r="E393" i="1"/>
  <c r="D393" i="1"/>
  <c r="C393" i="1"/>
  <c r="B393" i="1"/>
  <c r="A393" i="1"/>
  <c r="J392" i="1"/>
  <c r="G392" i="1"/>
  <c r="F392" i="1"/>
  <c r="E392" i="1"/>
  <c r="D392" i="1"/>
  <c r="C392" i="1"/>
  <c r="B392" i="1"/>
  <c r="H392" i="1" s="1"/>
  <c r="A392" i="1"/>
  <c r="J391" i="1"/>
  <c r="G391" i="1"/>
  <c r="F391" i="1"/>
  <c r="E391" i="1"/>
  <c r="D391" i="1"/>
  <c r="C391" i="1"/>
  <c r="B391" i="1"/>
  <c r="A391" i="1"/>
  <c r="G390" i="1"/>
  <c r="J390" i="1" s="1"/>
  <c r="F390" i="1"/>
  <c r="E390" i="1"/>
  <c r="D390" i="1"/>
  <c r="C390" i="1"/>
  <c r="B390" i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H387" i="1" s="1"/>
  <c r="A387" i="1"/>
  <c r="H386" i="1"/>
  <c r="G386" i="1"/>
  <c r="J386" i="1" s="1"/>
  <c r="F386" i="1"/>
  <c r="E386" i="1"/>
  <c r="D386" i="1"/>
  <c r="C386" i="1"/>
  <c r="B386" i="1"/>
  <c r="A386" i="1"/>
  <c r="J385" i="1"/>
  <c r="H385" i="1"/>
  <c r="G385" i="1"/>
  <c r="F385" i="1"/>
  <c r="E385" i="1"/>
  <c r="D385" i="1"/>
  <c r="C385" i="1"/>
  <c r="B385" i="1"/>
  <c r="A385" i="1"/>
  <c r="J384" i="1"/>
  <c r="G384" i="1"/>
  <c r="F384" i="1"/>
  <c r="E384" i="1"/>
  <c r="D384" i="1"/>
  <c r="C384" i="1"/>
  <c r="B384" i="1"/>
  <c r="H384" i="1" s="1"/>
  <c r="A384" i="1"/>
  <c r="J383" i="1"/>
  <c r="G383" i="1"/>
  <c r="F383" i="1"/>
  <c r="E383" i="1"/>
  <c r="D383" i="1"/>
  <c r="C383" i="1"/>
  <c r="B383" i="1"/>
  <c r="H383" i="1" s="1"/>
  <c r="A383" i="1"/>
  <c r="G382" i="1"/>
  <c r="J382" i="1" s="1"/>
  <c r="F382" i="1"/>
  <c r="E382" i="1"/>
  <c r="D382" i="1"/>
  <c r="C382" i="1"/>
  <c r="B382" i="1"/>
  <c r="A382" i="1"/>
  <c r="H381" i="1"/>
  <c r="G381" i="1"/>
  <c r="J381" i="1" s="1"/>
  <c r="F381" i="1"/>
  <c r="E381" i="1"/>
  <c r="D381" i="1"/>
  <c r="C381" i="1"/>
  <c r="B381" i="1"/>
  <c r="A381" i="1"/>
  <c r="J380" i="1"/>
  <c r="H380" i="1"/>
  <c r="G380" i="1"/>
  <c r="F380" i="1"/>
  <c r="E380" i="1"/>
  <c r="D380" i="1"/>
  <c r="C380" i="1"/>
  <c r="B380" i="1"/>
  <c r="A380" i="1"/>
  <c r="G379" i="1"/>
  <c r="J379" i="1" s="1"/>
  <c r="F379" i="1"/>
  <c r="E379" i="1"/>
  <c r="D379" i="1"/>
  <c r="C379" i="1"/>
  <c r="B379" i="1"/>
  <c r="H379" i="1" s="1"/>
  <c r="A379" i="1"/>
  <c r="H378" i="1"/>
  <c r="G378" i="1"/>
  <c r="J378" i="1" s="1"/>
  <c r="F378" i="1"/>
  <c r="E378" i="1"/>
  <c r="D378" i="1"/>
  <c r="C378" i="1"/>
  <c r="B378" i="1"/>
  <c r="A378" i="1"/>
  <c r="J377" i="1"/>
  <c r="H377" i="1"/>
  <c r="G377" i="1"/>
  <c r="F377" i="1"/>
  <c r="E377" i="1"/>
  <c r="D377" i="1"/>
  <c r="C377" i="1"/>
  <c r="B377" i="1"/>
  <c r="A377" i="1"/>
  <c r="J376" i="1"/>
  <c r="G376" i="1"/>
  <c r="F376" i="1"/>
  <c r="E376" i="1"/>
  <c r="D376" i="1"/>
  <c r="C376" i="1"/>
  <c r="B376" i="1"/>
  <c r="H376" i="1" s="1"/>
  <c r="A376" i="1"/>
  <c r="J375" i="1"/>
  <c r="G375" i="1"/>
  <c r="F375" i="1"/>
  <c r="E375" i="1"/>
  <c r="D375" i="1"/>
  <c r="C375" i="1"/>
  <c r="B375" i="1"/>
  <c r="H375" i="1" s="1"/>
  <c r="A375" i="1"/>
  <c r="G374" i="1"/>
  <c r="J374" i="1" s="1"/>
  <c r="F374" i="1"/>
  <c r="E374" i="1"/>
  <c r="D374" i="1"/>
  <c r="C374" i="1"/>
  <c r="B374" i="1"/>
  <c r="H374" i="1" s="1"/>
  <c r="A374" i="1"/>
  <c r="H373" i="1"/>
  <c r="G373" i="1"/>
  <c r="J373" i="1" s="1"/>
  <c r="F373" i="1"/>
  <c r="E373" i="1"/>
  <c r="D373" i="1"/>
  <c r="C373" i="1"/>
  <c r="B373" i="1"/>
  <c r="A373" i="1"/>
  <c r="J372" i="1"/>
  <c r="H372" i="1"/>
  <c r="G372" i="1"/>
  <c r="F372" i="1"/>
  <c r="E372" i="1"/>
  <c r="D372" i="1"/>
  <c r="C372" i="1"/>
  <c r="B372" i="1"/>
  <c r="A372" i="1"/>
  <c r="G371" i="1"/>
  <c r="J371" i="1" s="1"/>
  <c r="F371" i="1"/>
  <c r="E371" i="1"/>
  <c r="D371" i="1"/>
  <c r="C371" i="1"/>
  <c r="B371" i="1"/>
  <c r="H371" i="1" s="1"/>
  <c r="A371" i="1"/>
  <c r="G370" i="1"/>
  <c r="J370" i="1" s="1"/>
  <c r="F370" i="1"/>
  <c r="E370" i="1"/>
  <c r="D370" i="1"/>
  <c r="C370" i="1"/>
  <c r="B370" i="1"/>
  <c r="H370" i="1" s="1"/>
  <c r="A370" i="1"/>
  <c r="J369" i="1"/>
  <c r="G369" i="1"/>
  <c r="F369" i="1"/>
  <c r="E369" i="1"/>
  <c r="D369" i="1"/>
  <c r="C369" i="1"/>
  <c r="H369" i="1" s="1"/>
  <c r="B369" i="1"/>
  <c r="A369" i="1"/>
  <c r="J368" i="1"/>
  <c r="G368" i="1"/>
  <c r="F368" i="1"/>
  <c r="E368" i="1"/>
  <c r="D368" i="1"/>
  <c r="C368" i="1"/>
  <c r="B368" i="1"/>
  <c r="H368" i="1" s="1"/>
  <c r="A368" i="1"/>
  <c r="J367" i="1"/>
  <c r="G367" i="1"/>
  <c r="F367" i="1"/>
  <c r="E367" i="1"/>
  <c r="D367" i="1"/>
  <c r="C367" i="1"/>
  <c r="B367" i="1"/>
  <c r="A367" i="1"/>
  <c r="G366" i="1"/>
  <c r="J366" i="1" s="1"/>
  <c r="F366" i="1"/>
  <c r="E366" i="1"/>
  <c r="D366" i="1"/>
  <c r="C366" i="1"/>
  <c r="B366" i="1"/>
  <c r="H366" i="1" s="1"/>
  <c r="A366" i="1"/>
  <c r="H365" i="1"/>
  <c r="G365" i="1"/>
  <c r="J365" i="1" s="1"/>
  <c r="F365" i="1"/>
  <c r="E365" i="1"/>
  <c r="D365" i="1"/>
  <c r="C365" i="1"/>
  <c r="B365" i="1"/>
  <c r="A365" i="1"/>
  <c r="J364" i="1"/>
  <c r="H364" i="1"/>
  <c r="G364" i="1"/>
  <c r="F364" i="1"/>
  <c r="E364" i="1"/>
  <c r="D364" i="1"/>
  <c r="C364" i="1"/>
  <c r="B364" i="1"/>
  <c r="A364" i="1"/>
  <c r="G363" i="1"/>
  <c r="J363" i="1" s="1"/>
  <c r="F363" i="1"/>
  <c r="E363" i="1"/>
  <c r="D363" i="1"/>
  <c r="C363" i="1"/>
  <c r="B363" i="1"/>
  <c r="H363" i="1" s="1"/>
  <c r="A363" i="1"/>
  <c r="G362" i="1"/>
  <c r="J362" i="1" s="1"/>
  <c r="F362" i="1"/>
  <c r="E362" i="1"/>
  <c r="D362" i="1"/>
  <c r="C362" i="1"/>
  <c r="H362" i="1" s="1"/>
  <c r="B362" i="1"/>
  <c r="A362" i="1"/>
  <c r="J361" i="1"/>
  <c r="H361" i="1"/>
  <c r="G361" i="1"/>
  <c r="F361" i="1"/>
  <c r="E361" i="1"/>
  <c r="D361" i="1"/>
  <c r="C361" i="1"/>
  <c r="B361" i="1"/>
  <c r="A361" i="1"/>
  <c r="J360" i="1"/>
  <c r="G360" i="1"/>
  <c r="F360" i="1"/>
  <c r="E360" i="1"/>
  <c r="D360" i="1"/>
  <c r="C360" i="1"/>
  <c r="B360" i="1"/>
  <c r="H360" i="1" s="1"/>
  <c r="A360" i="1"/>
  <c r="J359" i="1"/>
  <c r="G359" i="1"/>
  <c r="F359" i="1"/>
  <c r="E359" i="1"/>
  <c r="D359" i="1"/>
  <c r="C359" i="1"/>
  <c r="B359" i="1"/>
  <c r="H359" i="1" s="1"/>
  <c r="A359" i="1"/>
  <c r="G358" i="1"/>
  <c r="J358" i="1" s="1"/>
  <c r="F358" i="1"/>
  <c r="E358" i="1"/>
  <c r="D358" i="1"/>
  <c r="C358" i="1"/>
  <c r="B358" i="1"/>
  <c r="A358" i="1"/>
  <c r="H357" i="1"/>
  <c r="G357" i="1"/>
  <c r="J357" i="1" s="1"/>
  <c r="F357" i="1"/>
  <c r="E357" i="1"/>
  <c r="D357" i="1"/>
  <c r="C357" i="1"/>
  <c r="B357" i="1"/>
  <c r="A357" i="1"/>
  <c r="J356" i="1"/>
  <c r="H356" i="1"/>
  <c r="G356" i="1"/>
  <c r="F356" i="1"/>
  <c r="E356" i="1"/>
  <c r="D356" i="1"/>
  <c r="C356" i="1"/>
  <c r="B356" i="1"/>
  <c r="A356" i="1"/>
  <c r="J355" i="1"/>
  <c r="G355" i="1"/>
  <c r="F355" i="1"/>
  <c r="E355" i="1"/>
  <c r="D355" i="1"/>
  <c r="C355" i="1"/>
  <c r="B355" i="1"/>
  <c r="H355" i="1" s="1"/>
  <c r="A355" i="1"/>
  <c r="H354" i="1"/>
  <c r="G354" i="1"/>
  <c r="J354" i="1" s="1"/>
  <c r="F354" i="1"/>
  <c r="E354" i="1"/>
  <c r="D354" i="1"/>
  <c r="C354" i="1"/>
  <c r="B354" i="1"/>
  <c r="A354" i="1"/>
  <c r="J353" i="1"/>
  <c r="G353" i="1"/>
  <c r="F353" i="1"/>
  <c r="E353" i="1"/>
  <c r="D353" i="1"/>
  <c r="C353" i="1"/>
  <c r="H353" i="1" s="1"/>
  <c r="B353" i="1"/>
  <c r="A353" i="1"/>
  <c r="J352" i="1"/>
  <c r="G352" i="1"/>
  <c r="F352" i="1"/>
  <c r="E352" i="1"/>
  <c r="D352" i="1"/>
  <c r="C352" i="1"/>
  <c r="B352" i="1"/>
  <c r="H352" i="1" s="1"/>
  <c r="A352" i="1"/>
  <c r="J351" i="1"/>
  <c r="G351" i="1"/>
  <c r="F351" i="1"/>
  <c r="E351" i="1"/>
  <c r="D351" i="1"/>
  <c r="C351" i="1"/>
  <c r="B351" i="1"/>
  <c r="H351" i="1" s="1"/>
  <c r="A351" i="1"/>
  <c r="G350" i="1"/>
  <c r="J350" i="1" s="1"/>
  <c r="F350" i="1"/>
  <c r="E350" i="1"/>
  <c r="D350" i="1"/>
  <c r="C350" i="1"/>
  <c r="B350" i="1"/>
  <c r="H350" i="1" s="1"/>
  <c r="A350" i="1"/>
  <c r="H349" i="1"/>
  <c r="G349" i="1"/>
  <c r="J349" i="1" s="1"/>
  <c r="F349" i="1"/>
  <c r="E349" i="1"/>
  <c r="D349" i="1"/>
  <c r="C349" i="1"/>
  <c r="B349" i="1"/>
  <c r="A349" i="1"/>
  <c r="J348" i="1"/>
  <c r="H348" i="1"/>
  <c r="G348" i="1"/>
  <c r="F348" i="1"/>
  <c r="E348" i="1"/>
  <c r="D348" i="1"/>
  <c r="C348" i="1"/>
  <c r="B348" i="1"/>
  <c r="A348" i="1"/>
  <c r="J347" i="1"/>
  <c r="G347" i="1"/>
  <c r="F347" i="1"/>
  <c r="E347" i="1"/>
  <c r="D347" i="1"/>
  <c r="C347" i="1"/>
  <c r="B347" i="1"/>
  <c r="H347" i="1" s="1"/>
  <c r="A347" i="1"/>
  <c r="G346" i="1"/>
  <c r="J346" i="1" s="1"/>
  <c r="F346" i="1"/>
  <c r="E346" i="1"/>
  <c r="D346" i="1"/>
  <c r="C346" i="1"/>
  <c r="B346" i="1"/>
  <c r="H346" i="1" s="1"/>
  <c r="A346" i="1"/>
  <c r="J345" i="1"/>
  <c r="G345" i="1"/>
  <c r="F345" i="1"/>
  <c r="E345" i="1"/>
  <c r="D345" i="1"/>
  <c r="C345" i="1"/>
  <c r="H345" i="1" s="1"/>
  <c r="B345" i="1"/>
  <c r="A345" i="1"/>
  <c r="J344" i="1"/>
  <c r="G344" i="1"/>
  <c r="F344" i="1"/>
  <c r="E344" i="1"/>
  <c r="D344" i="1"/>
  <c r="C344" i="1"/>
  <c r="B344" i="1"/>
  <c r="H344" i="1" s="1"/>
  <c r="A344" i="1"/>
  <c r="J343" i="1"/>
  <c r="G343" i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C342" i="1"/>
  <c r="B342" i="1"/>
  <c r="H342" i="1" s="1"/>
  <c r="A342" i="1"/>
  <c r="H341" i="1"/>
  <c r="G341" i="1"/>
  <c r="J341" i="1" s="1"/>
  <c r="F341" i="1"/>
  <c r="E341" i="1"/>
  <c r="D341" i="1"/>
  <c r="C341" i="1"/>
  <c r="B341" i="1"/>
  <c r="A341" i="1"/>
  <c r="J340" i="1"/>
  <c r="H340" i="1"/>
  <c r="G340" i="1"/>
  <c r="F340" i="1"/>
  <c r="E340" i="1"/>
  <c r="D340" i="1"/>
  <c r="C340" i="1"/>
  <c r="B340" i="1"/>
  <c r="A340" i="1"/>
  <c r="G339" i="1"/>
  <c r="J339" i="1" s="1"/>
  <c r="F339" i="1"/>
  <c r="E339" i="1"/>
  <c r="D339" i="1"/>
  <c r="C339" i="1"/>
  <c r="B339" i="1"/>
  <c r="H339" i="1" s="1"/>
  <c r="A339" i="1"/>
  <c r="G338" i="1"/>
  <c r="J338" i="1" s="1"/>
  <c r="F338" i="1"/>
  <c r="E338" i="1"/>
  <c r="D338" i="1"/>
  <c r="C338" i="1"/>
  <c r="B338" i="1"/>
  <c r="H338" i="1" s="1"/>
  <c r="A338" i="1"/>
  <c r="J337" i="1"/>
  <c r="G337" i="1"/>
  <c r="F337" i="1"/>
  <c r="E337" i="1"/>
  <c r="D337" i="1"/>
  <c r="C337" i="1"/>
  <c r="H337" i="1" s="1"/>
  <c r="B337" i="1"/>
  <c r="A337" i="1"/>
  <c r="J336" i="1"/>
  <c r="G336" i="1"/>
  <c r="F336" i="1"/>
  <c r="E336" i="1"/>
  <c r="D336" i="1"/>
  <c r="C336" i="1"/>
  <c r="B336" i="1"/>
  <c r="H336" i="1" s="1"/>
  <c r="A336" i="1"/>
  <c r="J335" i="1"/>
  <c r="G335" i="1"/>
  <c r="F335" i="1"/>
  <c r="E335" i="1"/>
  <c r="D335" i="1"/>
  <c r="C335" i="1"/>
  <c r="B335" i="1"/>
  <c r="A335" i="1"/>
  <c r="G334" i="1"/>
  <c r="J334" i="1" s="1"/>
  <c r="F334" i="1"/>
  <c r="E334" i="1"/>
  <c r="D334" i="1"/>
  <c r="C334" i="1"/>
  <c r="B334" i="1"/>
  <c r="H334" i="1" s="1"/>
  <c r="A334" i="1"/>
  <c r="H333" i="1"/>
  <c r="G333" i="1"/>
  <c r="J333" i="1" s="1"/>
  <c r="F333" i="1"/>
  <c r="E333" i="1"/>
  <c r="D333" i="1"/>
  <c r="C333" i="1"/>
  <c r="B333" i="1"/>
  <c r="A333" i="1"/>
  <c r="J332" i="1"/>
  <c r="H332" i="1"/>
  <c r="G332" i="1"/>
  <c r="F332" i="1"/>
  <c r="E332" i="1"/>
  <c r="C332" i="1"/>
  <c r="B332" i="1"/>
  <c r="A332" i="1"/>
  <c r="G331" i="1"/>
  <c r="J331" i="1" s="1"/>
  <c r="F331" i="1"/>
  <c r="E331" i="1"/>
  <c r="C331" i="1"/>
  <c r="B331" i="1"/>
  <c r="H331" i="1" s="1"/>
  <c r="A331" i="1"/>
  <c r="G330" i="1"/>
  <c r="J330" i="1" s="1"/>
  <c r="F330" i="1"/>
  <c r="E330" i="1"/>
  <c r="C330" i="1"/>
  <c r="B330" i="1"/>
  <c r="H330" i="1" s="1"/>
  <c r="A330" i="1"/>
  <c r="J329" i="1"/>
  <c r="G329" i="1"/>
  <c r="F329" i="1"/>
  <c r="E329" i="1"/>
  <c r="D329" i="1"/>
  <c r="C329" i="1"/>
  <c r="H329" i="1" s="1"/>
  <c r="B329" i="1"/>
  <c r="A329" i="1"/>
  <c r="J328" i="1"/>
  <c r="G328" i="1"/>
  <c r="F328" i="1"/>
  <c r="E328" i="1"/>
  <c r="D328" i="1"/>
  <c r="C328" i="1"/>
  <c r="B328" i="1"/>
  <c r="H328" i="1" s="1"/>
  <c r="A328" i="1"/>
  <c r="J327" i="1"/>
  <c r="G327" i="1"/>
  <c r="F327" i="1"/>
  <c r="E327" i="1"/>
  <c r="C327" i="1"/>
  <c r="B327" i="1"/>
  <c r="H327" i="1" s="1"/>
  <c r="A327" i="1"/>
  <c r="G326" i="1"/>
  <c r="J326" i="1" s="1"/>
  <c r="F326" i="1"/>
  <c r="E326" i="1"/>
  <c r="D326" i="1"/>
  <c r="C326" i="1"/>
  <c r="B326" i="1"/>
  <c r="A326" i="1"/>
  <c r="H325" i="1"/>
  <c r="G325" i="1"/>
  <c r="J325" i="1" s="1"/>
  <c r="F325" i="1"/>
  <c r="E325" i="1"/>
  <c r="D325" i="1"/>
  <c r="C325" i="1"/>
  <c r="B325" i="1"/>
  <c r="A325" i="1"/>
  <c r="J324" i="1"/>
  <c r="H324" i="1"/>
  <c r="G324" i="1"/>
  <c r="F324" i="1"/>
  <c r="E324" i="1"/>
  <c r="D324" i="1"/>
  <c r="C324" i="1"/>
  <c r="B324" i="1"/>
  <c r="A324" i="1"/>
  <c r="J323" i="1"/>
  <c r="G323" i="1"/>
  <c r="F323" i="1"/>
  <c r="E323" i="1"/>
  <c r="C323" i="1"/>
  <c r="B323" i="1"/>
  <c r="H323" i="1" s="1"/>
  <c r="A323" i="1"/>
  <c r="G322" i="1"/>
  <c r="J322" i="1" s="1"/>
  <c r="F322" i="1"/>
  <c r="E322" i="1"/>
  <c r="C322" i="1"/>
  <c r="B322" i="1"/>
  <c r="H322" i="1" s="1"/>
  <c r="A322" i="1"/>
  <c r="G321" i="1"/>
  <c r="J321" i="1" s="1"/>
  <c r="F321" i="1"/>
  <c r="E321" i="1"/>
  <c r="D321" i="1"/>
  <c r="C321" i="1"/>
  <c r="H321" i="1" s="1"/>
  <c r="B321" i="1"/>
  <c r="A321" i="1"/>
  <c r="J320" i="1"/>
  <c r="H320" i="1"/>
  <c r="G320" i="1"/>
  <c r="F320" i="1"/>
  <c r="E320" i="1"/>
  <c r="D320" i="1"/>
  <c r="C320" i="1"/>
  <c r="B320" i="1"/>
  <c r="A320" i="1"/>
  <c r="J319" i="1"/>
  <c r="G319" i="1"/>
  <c r="F319" i="1"/>
  <c r="E319" i="1"/>
  <c r="C319" i="1"/>
  <c r="B319" i="1"/>
  <c r="A319" i="1"/>
  <c r="G318" i="1"/>
  <c r="J318" i="1" s="1"/>
  <c r="F318" i="1"/>
  <c r="E318" i="1"/>
  <c r="D318" i="1"/>
  <c r="C318" i="1"/>
  <c r="B318" i="1"/>
  <c r="H318" i="1" s="1"/>
  <c r="A318" i="1"/>
  <c r="H317" i="1"/>
  <c r="G317" i="1"/>
  <c r="J317" i="1" s="1"/>
  <c r="F317" i="1"/>
  <c r="E317" i="1"/>
  <c r="D317" i="1"/>
  <c r="C317" i="1"/>
  <c r="B317" i="1"/>
  <c r="A317" i="1"/>
  <c r="J316" i="1"/>
  <c r="H316" i="1"/>
  <c r="G316" i="1"/>
  <c r="F316" i="1"/>
  <c r="E316" i="1"/>
  <c r="D316" i="1"/>
  <c r="C316" i="1"/>
  <c r="B316" i="1"/>
  <c r="A316" i="1"/>
  <c r="G315" i="1"/>
  <c r="J315" i="1" s="1"/>
  <c r="F315" i="1"/>
  <c r="E315" i="1"/>
  <c r="C315" i="1"/>
  <c r="B315" i="1"/>
  <c r="H315" i="1" s="1"/>
  <c r="A315" i="1"/>
  <c r="H314" i="1"/>
  <c r="G314" i="1"/>
  <c r="J314" i="1" s="1"/>
  <c r="F314" i="1"/>
  <c r="E314" i="1"/>
  <c r="C314" i="1"/>
  <c r="B314" i="1"/>
  <c r="A314" i="1"/>
  <c r="H313" i="1"/>
  <c r="G313" i="1"/>
  <c r="J313" i="1" s="1"/>
  <c r="F313" i="1"/>
  <c r="E313" i="1"/>
  <c r="D313" i="1"/>
  <c r="C313" i="1"/>
  <c r="B313" i="1"/>
  <c r="A313" i="1"/>
  <c r="J312" i="1"/>
  <c r="H312" i="1"/>
  <c r="G312" i="1"/>
  <c r="F312" i="1"/>
  <c r="E312" i="1"/>
  <c r="D312" i="1"/>
  <c r="C312" i="1"/>
  <c r="B312" i="1"/>
  <c r="A312" i="1"/>
  <c r="J311" i="1"/>
  <c r="G311" i="1"/>
  <c r="F311" i="1"/>
  <c r="E311" i="1"/>
  <c r="C311" i="1"/>
  <c r="B311" i="1"/>
  <c r="H311" i="1" s="1"/>
  <c r="A311" i="1"/>
  <c r="G310" i="1"/>
  <c r="J310" i="1" s="1"/>
  <c r="F310" i="1"/>
  <c r="E310" i="1"/>
  <c r="D310" i="1"/>
  <c r="C310" i="1"/>
  <c r="B310" i="1"/>
  <c r="H310" i="1" s="1"/>
  <c r="A310" i="1"/>
  <c r="H309" i="1"/>
  <c r="G309" i="1"/>
  <c r="J309" i="1" s="1"/>
  <c r="F309" i="1"/>
  <c r="E309" i="1"/>
  <c r="D309" i="1"/>
  <c r="C309" i="1"/>
  <c r="B309" i="1"/>
  <c r="A309" i="1"/>
  <c r="J308" i="1"/>
  <c r="H308" i="1"/>
  <c r="G308" i="1"/>
  <c r="F308" i="1"/>
  <c r="E308" i="1"/>
  <c r="D308" i="1"/>
  <c r="C308" i="1"/>
  <c r="B308" i="1"/>
  <c r="A308" i="1"/>
  <c r="G307" i="1"/>
  <c r="J307" i="1" s="1"/>
  <c r="F307" i="1"/>
  <c r="E307" i="1"/>
  <c r="C307" i="1"/>
  <c r="B307" i="1"/>
  <c r="H307" i="1" s="1"/>
  <c r="A307" i="1"/>
  <c r="H306" i="1"/>
  <c r="G306" i="1"/>
  <c r="J306" i="1" s="1"/>
  <c r="F306" i="1"/>
  <c r="E306" i="1"/>
  <c r="C306" i="1"/>
  <c r="B306" i="1"/>
  <c r="A306" i="1"/>
  <c r="J305" i="1"/>
  <c r="H305" i="1"/>
  <c r="G305" i="1"/>
  <c r="F305" i="1"/>
  <c r="E305" i="1"/>
  <c r="D305" i="1"/>
  <c r="C305" i="1"/>
  <c r="B305" i="1"/>
  <c r="A305" i="1"/>
  <c r="J304" i="1"/>
  <c r="G304" i="1"/>
  <c r="F304" i="1"/>
  <c r="E304" i="1"/>
  <c r="D304" i="1"/>
  <c r="C304" i="1"/>
  <c r="B304" i="1"/>
  <c r="H304" i="1" s="1"/>
  <c r="A304" i="1"/>
  <c r="J303" i="1"/>
  <c r="G303" i="1"/>
  <c r="F303" i="1"/>
  <c r="E303" i="1"/>
  <c r="C303" i="1"/>
  <c r="B303" i="1"/>
  <c r="H303" i="1" s="1"/>
  <c r="A303" i="1"/>
  <c r="G302" i="1"/>
  <c r="J302" i="1" s="1"/>
  <c r="F302" i="1"/>
  <c r="E302" i="1"/>
  <c r="D302" i="1"/>
  <c r="C302" i="1"/>
  <c r="B302" i="1"/>
  <c r="H302" i="1" s="1"/>
  <c r="A302" i="1"/>
  <c r="H301" i="1"/>
  <c r="G301" i="1"/>
  <c r="J301" i="1" s="1"/>
  <c r="F301" i="1"/>
  <c r="E301" i="1"/>
  <c r="D301" i="1"/>
  <c r="C301" i="1"/>
  <c r="B301" i="1"/>
  <c r="A301" i="1"/>
  <c r="J300" i="1"/>
  <c r="H300" i="1"/>
  <c r="G300" i="1"/>
  <c r="F300" i="1"/>
  <c r="E300" i="1"/>
  <c r="D300" i="1"/>
  <c r="C300" i="1"/>
  <c r="B300" i="1"/>
  <c r="A300" i="1"/>
  <c r="G299" i="1"/>
  <c r="J299" i="1" s="1"/>
  <c r="F299" i="1"/>
  <c r="E299" i="1"/>
  <c r="C299" i="1"/>
  <c r="B299" i="1"/>
  <c r="H299" i="1" s="1"/>
  <c r="A299" i="1"/>
  <c r="G298" i="1"/>
  <c r="J298" i="1" s="1"/>
  <c r="F298" i="1"/>
  <c r="E298" i="1"/>
  <c r="C298" i="1"/>
  <c r="H298" i="1" s="1"/>
  <c r="B298" i="1"/>
  <c r="A298" i="1"/>
  <c r="H297" i="1"/>
  <c r="G297" i="1"/>
  <c r="J297" i="1" s="1"/>
  <c r="F297" i="1"/>
  <c r="E297" i="1"/>
  <c r="D297" i="1"/>
  <c r="C297" i="1"/>
  <c r="B297" i="1"/>
  <c r="A297" i="1"/>
  <c r="J296" i="1"/>
  <c r="H296" i="1"/>
  <c r="G296" i="1"/>
  <c r="F296" i="1"/>
  <c r="E296" i="1"/>
  <c r="D296" i="1"/>
  <c r="C296" i="1"/>
  <c r="B296" i="1"/>
  <c r="A296" i="1"/>
  <c r="J295" i="1"/>
  <c r="G295" i="1"/>
  <c r="F295" i="1"/>
  <c r="E295" i="1"/>
  <c r="C295" i="1"/>
  <c r="B295" i="1"/>
  <c r="H295" i="1" s="1"/>
  <c r="A295" i="1"/>
  <c r="G294" i="1"/>
  <c r="J294" i="1" s="1"/>
  <c r="F294" i="1"/>
  <c r="E294" i="1"/>
  <c r="D294" i="1"/>
  <c r="C294" i="1"/>
  <c r="B294" i="1"/>
  <c r="A294" i="1"/>
  <c r="G293" i="1"/>
  <c r="J293" i="1" s="1"/>
  <c r="F293" i="1"/>
  <c r="E293" i="1"/>
  <c r="D293" i="1"/>
  <c r="C293" i="1"/>
  <c r="H293" i="1" s="1"/>
  <c r="B293" i="1"/>
  <c r="A293" i="1"/>
  <c r="J292" i="1"/>
  <c r="H292" i="1"/>
  <c r="G292" i="1"/>
  <c r="F292" i="1"/>
  <c r="E292" i="1"/>
  <c r="D292" i="1"/>
  <c r="C292" i="1"/>
  <c r="B292" i="1"/>
  <c r="A292" i="1"/>
  <c r="J291" i="1"/>
  <c r="G291" i="1"/>
  <c r="F291" i="1"/>
  <c r="E291" i="1"/>
  <c r="C291" i="1"/>
  <c r="B291" i="1"/>
  <c r="H291" i="1" s="1"/>
  <c r="A291" i="1"/>
  <c r="G290" i="1"/>
  <c r="J290" i="1" s="1"/>
  <c r="F290" i="1"/>
  <c r="E290" i="1"/>
  <c r="C290" i="1"/>
  <c r="B290" i="1"/>
  <c r="H290" i="1" s="1"/>
  <c r="A290" i="1"/>
  <c r="G289" i="1"/>
  <c r="J289" i="1" s="1"/>
  <c r="F289" i="1"/>
  <c r="E289" i="1"/>
  <c r="D289" i="1"/>
  <c r="C289" i="1"/>
  <c r="H289" i="1" s="1"/>
  <c r="B289" i="1"/>
  <c r="A289" i="1"/>
  <c r="J288" i="1"/>
  <c r="H288" i="1"/>
  <c r="G288" i="1"/>
  <c r="F288" i="1"/>
  <c r="E288" i="1"/>
  <c r="D288" i="1"/>
  <c r="C288" i="1"/>
  <c r="B288" i="1"/>
  <c r="A288" i="1"/>
  <c r="J287" i="1"/>
  <c r="G287" i="1"/>
  <c r="F287" i="1"/>
  <c r="E287" i="1"/>
  <c r="C287" i="1"/>
  <c r="B287" i="1"/>
  <c r="A287" i="1"/>
  <c r="G286" i="1"/>
  <c r="J286" i="1" s="1"/>
  <c r="F286" i="1"/>
  <c r="E286" i="1"/>
  <c r="D286" i="1"/>
  <c r="C286" i="1"/>
  <c r="B286" i="1"/>
  <c r="H286" i="1" s="1"/>
  <c r="A286" i="1"/>
  <c r="G285" i="1"/>
  <c r="J285" i="1" s="1"/>
  <c r="F285" i="1"/>
  <c r="E285" i="1"/>
  <c r="D285" i="1"/>
  <c r="C285" i="1"/>
  <c r="H285" i="1" s="1"/>
  <c r="B285" i="1"/>
  <c r="A285" i="1"/>
  <c r="H284" i="1"/>
  <c r="G284" i="1"/>
  <c r="J284" i="1" s="1"/>
  <c r="F284" i="1"/>
  <c r="E284" i="1"/>
  <c r="D284" i="1"/>
  <c r="C284" i="1"/>
  <c r="B284" i="1"/>
  <c r="A284" i="1"/>
  <c r="H283" i="1"/>
  <c r="G283" i="1"/>
  <c r="J283" i="1" s="1"/>
  <c r="F283" i="1"/>
  <c r="E283" i="1"/>
  <c r="C283" i="1"/>
  <c r="B283" i="1"/>
  <c r="A283" i="1"/>
  <c r="G282" i="1"/>
  <c r="J282" i="1" s="1"/>
  <c r="F282" i="1"/>
  <c r="E282" i="1"/>
  <c r="C282" i="1"/>
  <c r="H282" i="1" s="1"/>
  <c r="B282" i="1"/>
  <c r="A282" i="1"/>
  <c r="H281" i="1"/>
  <c r="G281" i="1"/>
  <c r="J281" i="1" s="1"/>
  <c r="F281" i="1"/>
  <c r="E281" i="1"/>
  <c r="D281" i="1"/>
  <c r="C281" i="1"/>
  <c r="B281" i="1"/>
  <c r="A281" i="1"/>
  <c r="J280" i="1"/>
  <c r="H280" i="1"/>
  <c r="G280" i="1"/>
  <c r="F280" i="1"/>
  <c r="E280" i="1"/>
  <c r="D280" i="1"/>
  <c r="C280" i="1"/>
  <c r="B280" i="1"/>
  <c r="A280" i="1"/>
  <c r="J279" i="1"/>
  <c r="G279" i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B278" i="1"/>
  <c r="H278" i="1" s="1"/>
  <c r="A278" i="1"/>
  <c r="H277" i="1"/>
  <c r="G277" i="1"/>
  <c r="J277" i="1" s="1"/>
  <c r="F277" i="1"/>
  <c r="E277" i="1"/>
  <c r="D277" i="1"/>
  <c r="C277" i="1"/>
  <c r="B277" i="1"/>
  <c r="A277" i="1"/>
  <c r="J276" i="1"/>
  <c r="H276" i="1"/>
  <c r="G276" i="1"/>
  <c r="F276" i="1"/>
  <c r="E276" i="1"/>
  <c r="D276" i="1"/>
  <c r="C276" i="1"/>
  <c r="B276" i="1"/>
  <c r="A276" i="1"/>
  <c r="H275" i="1"/>
  <c r="G275" i="1"/>
  <c r="J275" i="1" s="1"/>
  <c r="F275" i="1"/>
  <c r="E275" i="1"/>
  <c r="C275" i="1"/>
  <c r="B275" i="1"/>
  <c r="A275" i="1"/>
  <c r="H274" i="1"/>
  <c r="G274" i="1"/>
  <c r="J274" i="1" s="1"/>
  <c r="F274" i="1"/>
  <c r="E274" i="1"/>
  <c r="C274" i="1"/>
  <c r="B274" i="1"/>
  <c r="A274" i="1"/>
  <c r="G273" i="1"/>
  <c r="J273" i="1" s="1"/>
  <c r="F273" i="1"/>
  <c r="E273" i="1"/>
  <c r="D273" i="1"/>
  <c r="C273" i="1"/>
  <c r="B273" i="1"/>
  <c r="H273" i="1" s="1"/>
  <c r="A273" i="1"/>
  <c r="J272" i="1"/>
  <c r="G272" i="1"/>
  <c r="F272" i="1"/>
  <c r="E272" i="1"/>
  <c r="D272" i="1"/>
  <c r="C272" i="1"/>
  <c r="H272" i="1" s="1"/>
  <c r="B272" i="1"/>
  <c r="A272" i="1"/>
  <c r="J271" i="1"/>
  <c r="G271" i="1"/>
  <c r="F271" i="1"/>
  <c r="E271" i="1"/>
  <c r="D271" i="1"/>
  <c r="C271" i="1"/>
  <c r="B271" i="1"/>
  <c r="A271" i="1"/>
  <c r="G270" i="1"/>
  <c r="J270" i="1" s="1"/>
  <c r="F270" i="1"/>
  <c r="E270" i="1"/>
  <c r="D270" i="1"/>
  <c r="C270" i="1"/>
  <c r="B270" i="1"/>
  <c r="H270" i="1" s="1"/>
  <c r="A270" i="1"/>
  <c r="H269" i="1"/>
  <c r="G269" i="1"/>
  <c r="J269" i="1" s="1"/>
  <c r="F269" i="1"/>
  <c r="E269" i="1"/>
  <c r="D269" i="1"/>
  <c r="C269" i="1"/>
  <c r="B269" i="1"/>
  <c r="A269" i="1"/>
  <c r="H268" i="1"/>
  <c r="G268" i="1"/>
  <c r="J268" i="1" s="1"/>
  <c r="F268" i="1"/>
  <c r="E268" i="1"/>
  <c r="D268" i="1"/>
  <c r="C268" i="1"/>
  <c r="B268" i="1"/>
  <c r="A268" i="1"/>
  <c r="J267" i="1"/>
  <c r="H267" i="1"/>
  <c r="G267" i="1"/>
  <c r="F267" i="1"/>
  <c r="E267" i="1"/>
  <c r="C267" i="1"/>
  <c r="B267" i="1"/>
  <c r="A267" i="1"/>
  <c r="J266" i="1"/>
  <c r="H266" i="1"/>
  <c r="G266" i="1"/>
  <c r="F266" i="1"/>
  <c r="E266" i="1"/>
  <c r="C266" i="1"/>
  <c r="B266" i="1"/>
  <c r="A266" i="1"/>
  <c r="J265" i="1"/>
  <c r="H265" i="1"/>
  <c r="G265" i="1"/>
  <c r="F265" i="1"/>
  <c r="E265" i="1"/>
  <c r="D265" i="1"/>
  <c r="C265" i="1"/>
  <c r="B265" i="1"/>
  <c r="A265" i="1"/>
  <c r="J264" i="1"/>
  <c r="G264" i="1"/>
  <c r="F264" i="1"/>
  <c r="E264" i="1"/>
  <c r="D264" i="1"/>
  <c r="C264" i="1"/>
  <c r="B264" i="1"/>
  <c r="H264" i="1" s="1"/>
  <c r="A264" i="1"/>
  <c r="J263" i="1"/>
  <c r="G263" i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B262" i="1"/>
  <c r="H262" i="1" s="1"/>
  <c r="A262" i="1"/>
  <c r="H261" i="1"/>
  <c r="G261" i="1"/>
  <c r="J261" i="1" s="1"/>
  <c r="F261" i="1"/>
  <c r="E261" i="1"/>
  <c r="D261" i="1"/>
  <c r="C261" i="1"/>
  <c r="B261" i="1"/>
  <c r="A261" i="1"/>
  <c r="J260" i="1"/>
  <c r="G260" i="1"/>
  <c r="F260" i="1"/>
  <c r="E260" i="1"/>
  <c r="D260" i="1"/>
  <c r="C260" i="1"/>
  <c r="H260" i="1" s="1"/>
  <c r="B260" i="1"/>
  <c r="A260" i="1"/>
  <c r="G259" i="1"/>
  <c r="J259" i="1" s="1"/>
  <c r="F259" i="1"/>
  <c r="E259" i="1"/>
  <c r="D259" i="1"/>
  <c r="C259" i="1"/>
  <c r="B259" i="1"/>
  <c r="H259" i="1" s="1"/>
  <c r="A259" i="1"/>
  <c r="G258" i="1"/>
  <c r="J258" i="1" s="1"/>
  <c r="F258" i="1"/>
  <c r="E258" i="1"/>
  <c r="D258" i="1"/>
  <c r="C258" i="1"/>
  <c r="H258" i="1" s="1"/>
  <c r="B258" i="1"/>
  <c r="A258" i="1"/>
  <c r="H257" i="1"/>
  <c r="G257" i="1"/>
  <c r="J257" i="1" s="1"/>
  <c r="F257" i="1"/>
  <c r="E257" i="1"/>
  <c r="D257" i="1"/>
  <c r="C257" i="1"/>
  <c r="B257" i="1"/>
  <c r="A257" i="1"/>
  <c r="J256" i="1"/>
  <c r="H256" i="1"/>
  <c r="G256" i="1"/>
  <c r="F256" i="1"/>
  <c r="E256" i="1"/>
  <c r="D256" i="1"/>
  <c r="C256" i="1"/>
  <c r="B256" i="1"/>
  <c r="A256" i="1"/>
  <c r="G255" i="1"/>
  <c r="J255" i="1" s="1"/>
  <c r="F255" i="1"/>
  <c r="E255" i="1"/>
  <c r="D255" i="1"/>
  <c r="C255" i="1"/>
  <c r="B255" i="1"/>
  <c r="H255" i="1" s="1"/>
  <c r="A255" i="1"/>
  <c r="G254" i="1"/>
  <c r="J254" i="1" s="1"/>
  <c r="F254" i="1"/>
  <c r="E254" i="1"/>
  <c r="D254" i="1"/>
  <c r="C254" i="1"/>
  <c r="H254" i="1" s="1"/>
  <c r="B254" i="1"/>
  <c r="A254" i="1"/>
  <c r="J253" i="1"/>
  <c r="H253" i="1"/>
  <c r="G253" i="1"/>
  <c r="F253" i="1"/>
  <c r="E253" i="1"/>
  <c r="D253" i="1"/>
  <c r="C253" i="1"/>
  <c r="B253" i="1"/>
  <c r="A253" i="1"/>
  <c r="J252" i="1"/>
  <c r="G252" i="1"/>
  <c r="F252" i="1"/>
  <c r="E252" i="1"/>
  <c r="D252" i="1"/>
  <c r="C252" i="1"/>
  <c r="B252" i="1"/>
  <c r="H252" i="1" s="1"/>
  <c r="A252" i="1"/>
  <c r="G251" i="1"/>
  <c r="J251" i="1" s="1"/>
  <c r="F251" i="1"/>
  <c r="E251" i="1"/>
  <c r="D251" i="1"/>
  <c r="C251" i="1"/>
  <c r="B251" i="1"/>
  <c r="H251" i="1" s="1"/>
  <c r="A251" i="1"/>
  <c r="G250" i="1"/>
  <c r="J250" i="1" s="1"/>
  <c r="F250" i="1"/>
  <c r="E250" i="1"/>
  <c r="D250" i="1"/>
  <c r="C250" i="1"/>
  <c r="B250" i="1"/>
  <c r="H250" i="1" s="1"/>
  <c r="A250" i="1"/>
  <c r="H249" i="1"/>
  <c r="G249" i="1"/>
  <c r="J249" i="1" s="1"/>
  <c r="F249" i="1"/>
  <c r="E249" i="1"/>
  <c r="D249" i="1"/>
  <c r="C249" i="1"/>
  <c r="B249" i="1"/>
  <c r="A249" i="1"/>
  <c r="J248" i="1"/>
  <c r="H248" i="1"/>
  <c r="G248" i="1"/>
  <c r="F248" i="1"/>
  <c r="E248" i="1"/>
  <c r="D248" i="1"/>
  <c r="C248" i="1"/>
  <c r="B248" i="1"/>
  <c r="A248" i="1"/>
  <c r="G247" i="1"/>
  <c r="J247" i="1" s="1"/>
  <c r="F247" i="1"/>
  <c r="E247" i="1"/>
  <c r="D247" i="1"/>
  <c r="C247" i="1"/>
  <c r="B247" i="1"/>
  <c r="H247" i="1" s="1"/>
  <c r="A247" i="1"/>
  <c r="G246" i="1"/>
  <c r="J246" i="1" s="1"/>
  <c r="F246" i="1"/>
  <c r="E246" i="1"/>
  <c r="D246" i="1"/>
  <c r="C246" i="1"/>
  <c r="H246" i="1" s="1"/>
  <c r="B246" i="1"/>
  <c r="A246" i="1"/>
  <c r="J245" i="1"/>
  <c r="H245" i="1"/>
  <c r="G245" i="1"/>
  <c r="F245" i="1"/>
  <c r="E245" i="1"/>
  <c r="D245" i="1"/>
  <c r="C245" i="1"/>
  <c r="B245" i="1"/>
  <c r="A245" i="1"/>
  <c r="J244" i="1"/>
  <c r="G244" i="1"/>
  <c r="F244" i="1"/>
  <c r="E244" i="1"/>
  <c r="D244" i="1"/>
  <c r="C244" i="1"/>
  <c r="B244" i="1"/>
  <c r="H244" i="1" s="1"/>
  <c r="A244" i="1"/>
  <c r="G243" i="1"/>
  <c r="J243" i="1" s="1"/>
  <c r="F243" i="1"/>
  <c r="E243" i="1"/>
  <c r="D243" i="1"/>
  <c r="C243" i="1"/>
  <c r="B243" i="1"/>
  <c r="H243" i="1" s="1"/>
  <c r="A243" i="1"/>
  <c r="G242" i="1"/>
  <c r="J242" i="1" s="1"/>
  <c r="F242" i="1"/>
  <c r="E242" i="1"/>
  <c r="D242" i="1"/>
  <c r="C242" i="1"/>
  <c r="B242" i="1"/>
  <c r="H242" i="1" s="1"/>
  <c r="A242" i="1"/>
  <c r="H241" i="1"/>
  <c r="G241" i="1"/>
  <c r="J241" i="1" s="1"/>
  <c r="F241" i="1"/>
  <c r="E241" i="1"/>
  <c r="D241" i="1"/>
  <c r="C241" i="1"/>
  <c r="B241" i="1"/>
  <c r="A241" i="1"/>
  <c r="J240" i="1"/>
  <c r="H240" i="1"/>
  <c r="G240" i="1"/>
  <c r="F240" i="1"/>
  <c r="E240" i="1"/>
  <c r="D240" i="1"/>
  <c r="C240" i="1"/>
  <c r="B240" i="1"/>
  <c r="A240" i="1"/>
  <c r="G239" i="1"/>
  <c r="J239" i="1" s="1"/>
  <c r="F239" i="1"/>
  <c r="E239" i="1"/>
  <c r="D239" i="1"/>
  <c r="C239" i="1"/>
  <c r="B239" i="1"/>
  <c r="H239" i="1" s="1"/>
  <c r="A239" i="1"/>
  <c r="G238" i="1"/>
  <c r="J238" i="1" s="1"/>
  <c r="F238" i="1"/>
  <c r="E238" i="1"/>
  <c r="D238" i="1"/>
  <c r="C238" i="1"/>
  <c r="H238" i="1" s="1"/>
  <c r="B238" i="1"/>
  <c r="A238" i="1"/>
  <c r="J237" i="1"/>
  <c r="H237" i="1"/>
  <c r="G237" i="1"/>
  <c r="F237" i="1"/>
  <c r="E237" i="1"/>
  <c r="D237" i="1"/>
  <c r="C237" i="1"/>
  <c r="B237" i="1"/>
  <c r="A237" i="1"/>
  <c r="J236" i="1"/>
  <c r="G236" i="1"/>
  <c r="F236" i="1"/>
  <c r="E236" i="1"/>
  <c r="D236" i="1"/>
  <c r="C236" i="1"/>
  <c r="B236" i="1"/>
  <c r="H236" i="1" s="1"/>
  <c r="A236" i="1"/>
  <c r="J235" i="1"/>
  <c r="G235" i="1"/>
  <c r="F235" i="1"/>
  <c r="E235" i="1"/>
  <c r="D235" i="1"/>
  <c r="C235" i="1"/>
  <c r="B235" i="1"/>
  <c r="H235" i="1" s="1"/>
  <c r="A235" i="1"/>
  <c r="G234" i="1"/>
  <c r="J234" i="1" s="1"/>
  <c r="F234" i="1"/>
  <c r="E234" i="1"/>
  <c r="D234" i="1"/>
  <c r="C234" i="1"/>
  <c r="B234" i="1"/>
  <c r="H234" i="1" s="1"/>
  <c r="A234" i="1"/>
  <c r="H233" i="1"/>
  <c r="G233" i="1"/>
  <c r="J233" i="1" s="1"/>
  <c r="F233" i="1"/>
  <c r="E233" i="1"/>
  <c r="D233" i="1"/>
  <c r="C233" i="1"/>
  <c r="B233" i="1"/>
  <c r="A233" i="1"/>
  <c r="J232" i="1"/>
  <c r="H232" i="1"/>
  <c r="G232" i="1"/>
  <c r="F232" i="1"/>
  <c r="E232" i="1"/>
  <c r="D232" i="1"/>
  <c r="C232" i="1"/>
  <c r="B232" i="1"/>
  <c r="A232" i="1"/>
  <c r="G231" i="1"/>
  <c r="J231" i="1" s="1"/>
  <c r="F231" i="1"/>
  <c r="E231" i="1"/>
  <c r="D231" i="1"/>
  <c r="C231" i="1"/>
  <c r="B231" i="1"/>
  <c r="H231" i="1" s="1"/>
  <c r="A231" i="1"/>
  <c r="G230" i="1"/>
  <c r="J230" i="1" s="1"/>
  <c r="F230" i="1"/>
  <c r="E230" i="1"/>
  <c r="D230" i="1"/>
  <c r="C230" i="1"/>
  <c r="H230" i="1" s="1"/>
  <c r="B230" i="1"/>
  <c r="A230" i="1"/>
  <c r="J229" i="1"/>
  <c r="H229" i="1"/>
  <c r="G229" i="1"/>
  <c r="F229" i="1"/>
  <c r="E229" i="1"/>
  <c r="D229" i="1"/>
  <c r="C229" i="1"/>
  <c r="B229" i="1"/>
  <c r="A229" i="1"/>
  <c r="J228" i="1"/>
  <c r="G228" i="1"/>
  <c r="F228" i="1"/>
  <c r="E228" i="1"/>
  <c r="D228" i="1"/>
  <c r="C228" i="1"/>
  <c r="B228" i="1"/>
  <c r="H228" i="1" s="1"/>
  <c r="A228" i="1"/>
  <c r="J227" i="1"/>
  <c r="G227" i="1"/>
  <c r="F227" i="1"/>
  <c r="E227" i="1"/>
  <c r="D227" i="1"/>
  <c r="C227" i="1"/>
  <c r="B227" i="1"/>
  <c r="H227" i="1" s="1"/>
  <c r="A227" i="1"/>
  <c r="G226" i="1"/>
  <c r="J226" i="1" s="1"/>
  <c r="F226" i="1"/>
  <c r="E226" i="1"/>
  <c r="D226" i="1"/>
  <c r="C226" i="1"/>
  <c r="B226" i="1"/>
  <c r="H226" i="1" s="1"/>
  <c r="A226" i="1"/>
  <c r="H225" i="1"/>
  <c r="G225" i="1"/>
  <c r="J225" i="1" s="1"/>
  <c r="F225" i="1"/>
  <c r="E225" i="1"/>
  <c r="D225" i="1"/>
  <c r="C225" i="1"/>
  <c r="B225" i="1"/>
  <c r="A225" i="1"/>
  <c r="J224" i="1"/>
  <c r="H224" i="1"/>
  <c r="G224" i="1"/>
  <c r="F224" i="1"/>
  <c r="E224" i="1"/>
  <c r="D224" i="1"/>
  <c r="C224" i="1"/>
  <c r="B224" i="1"/>
  <c r="A224" i="1"/>
  <c r="G223" i="1"/>
  <c r="J223" i="1" s="1"/>
  <c r="F223" i="1"/>
  <c r="E223" i="1"/>
  <c r="D223" i="1"/>
  <c r="C223" i="1"/>
  <c r="B223" i="1"/>
  <c r="H223" i="1" s="1"/>
  <c r="A223" i="1"/>
  <c r="G222" i="1"/>
  <c r="J222" i="1" s="1"/>
  <c r="F222" i="1"/>
  <c r="E222" i="1"/>
  <c r="D222" i="1"/>
  <c r="C222" i="1"/>
  <c r="H222" i="1" s="1"/>
  <c r="B222" i="1"/>
  <c r="A222" i="1"/>
  <c r="J221" i="1"/>
  <c r="H221" i="1"/>
  <c r="G221" i="1"/>
  <c r="F221" i="1"/>
  <c r="E221" i="1"/>
  <c r="D221" i="1"/>
  <c r="C221" i="1"/>
  <c r="B221" i="1"/>
  <c r="A221" i="1"/>
  <c r="J220" i="1"/>
  <c r="G220" i="1"/>
  <c r="F220" i="1"/>
  <c r="E220" i="1"/>
  <c r="D220" i="1"/>
  <c r="C220" i="1"/>
  <c r="B220" i="1"/>
  <c r="H220" i="1" s="1"/>
  <c r="A220" i="1"/>
  <c r="G219" i="1"/>
  <c r="J219" i="1" s="1"/>
  <c r="F219" i="1"/>
  <c r="E219" i="1"/>
  <c r="D219" i="1"/>
  <c r="C219" i="1"/>
  <c r="B219" i="1"/>
  <c r="H219" i="1" s="1"/>
  <c r="A219" i="1"/>
  <c r="G218" i="1"/>
  <c r="J218" i="1" s="1"/>
  <c r="F218" i="1"/>
  <c r="E218" i="1"/>
  <c r="D218" i="1"/>
  <c r="C218" i="1"/>
  <c r="B218" i="1"/>
  <c r="H218" i="1" s="1"/>
  <c r="A218" i="1"/>
  <c r="H217" i="1"/>
  <c r="G217" i="1"/>
  <c r="J217" i="1" s="1"/>
  <c r="F217" i="1"/>
  <c r="E217" i="1"/>
  <c r="D217" i="1"/>
  <c r="C217" i="1"/>
  <c r="B217" i="1"/>
  <c r="A217" i="1"/>
  <c r="J216" i="1"/>
  <c r="H216" i="1"/>
  <c r="G216" i="1"/>
  <c r="F216" i="1"/>
  <c r="E216" i="1"/>
  <c r="D216" i="1"/>
  <c r="C216" i="1"/>
  <c r="B216" i="1"/>
  <c r="A216" i="1"/>
  <c r="G215" i="1"/>
  <c r="J215" i="1" s="1"/>
  <c r="F215" i="1"/>
  <c r="E215" i="1"/>
  <c r="D215" i="1"/>
  <c r="C215" i="1"/>
  <c r="B215" i="1"/>
  <c r="H215" i="1" s="1"/>
  <c r="A215" i="1"/>
  <c r="G214" i="1"/>
  <c r="J214" i="1" s="1"/>
  <c r="F214" i="1"/>
  <c r="E214" i="1"/>
  <c r="D214" i="1"/>
  <c r="C214" i="1"/>
  <c r="H214" i="1" s="1"/>
  <c r="B214" i="1"/>
  <c r="A214" i="1"/>
  <c r="J213" i="1"/>
  <c r="H213" i="1"/>
  <c r="G213" i="1"/>
  <c r="F213" i="1"/>
  <c r="E213" i="1"/>
  <c r="D213" i="1"/>
  <c r="C213" i="1"/>
  <c r="B213" i="1"/>
  <c r="A213" i="1"/>
  <c r="J212" i="1"/>
  <c r="G212" i="1"/>
  <c r="F212" i="1"/>
  <c r="E212" i="1"/>
  <c r="D212" i="1"/>
  <c r="C212" i="1"/>
  <c r="B212" i="1"/>
  <c r="H212" i="1" s="1"/>
  <c r="A212" i="1"/>
  <c r="J211" i="1"/>
  <c r="G211" i="1"/>
  <c r="F211" i="1"/>
  <c r="E211" i="1"/>
  <c r="D211" i="1"/>
  <c r="C211" i="1"/>
  <c r="B211" i="1"/>
  <c r="H211" i="1" s="1"/>
  <c r="A211" i="1"/>
  <c r="G210" i="1"/>
  <c r="J210" i="1" s="1"/>
  <c r="F210" i="1"/>
  <c r="E210" i="1"/>
  <c r="D210" i="1"/>
  <c r="C210" i="1"/>
  <c r="B210" i="1"/>
  <c r="H210" i="1" s="1"/>
  <c r="A210" i="1"/>
  <c r="H209" i="1"/>
  <c r="G209" i="1"/>
  <c r="J209" i="1" s="1"/>
  <c r="F209" i="1"/>
  <c r="E209" i="1"/>
  <c r="D209" i="1"/>
  <c r="C209" i="1"/>
  <c r="B209" i="1"/>
  <c r="A209" i="1"/>
  <c r="J208" i="1"/>
  <c r="H208" i="1"/>
  <c r="G208" i="1"/>
  <c r="F208" i="1"/>
  <c r="E208" i="1"/>
  <c r="D208" i="1"/>
  <c r="C208" i="1"/>
  <c r="B208" i="1"/>
  <c r="A208" i="1"/>
  <c r="G207" i="1"/>
  <c r="J207" i="1" s="1"/>
  <c r="F207" i="1"/>
  <c r="E207" i="1"/>
  <c r="D207" i="1"/>
  <c r="C207" i="1"/>
  <c r="B207" i="1"/>
  <c r="H207" i="1" s="1"/>
  <c r="A207" i="1"/>
  <c r="G206" i="1"/>
  <c r="J206" i="1" s="1"/>
  <c r="F206" i="1"/>
  <c r="E206" i="1"/>
  <c r="D206" i="1"/>
  <c r="C206" i="1"/>
  <c r="H206" i="1" s="1"/>
  <c r="B206" i="1"/>
  <c r="A206" i="1"/>
  <c r="J205" i="1"/>
  <c r="H205" i="1"/>
  <c r="G205" i="1"/>
  <c r="F205" i="1"/>
  <c r="E205" i="1"/>
  <c r="D205" i="1"/>
  <c r="C205" i="1"/>
  <c r="B205" i="1"/>
  <c r="A205" i="1"/>
  <c r="J204" i="1"/>
  <c r="G204" i="1"/>
  <c r="F204" i="1"/>
  <c r="E204" i="1"/>
  <c r="D204" i="1"/>
  <c r="C204" i="1"/>
  <c r="B204" i="1"/>
  <c r="H204" i="1" s="1"/>
  <c r="A204" i="1"/>
  <c r="J203" i="1"/>
  <c r="G203" i="1"/>
  <c r="F203" i="1"/>
  <c r="E203" i="1"/>
  <c r="D203" i="1"/>
  <c r="C203" i="1"/>
  <c r="B203" i="1"/>
  <c r="H203" i="1" s="1"/>
  <c r="A203" i="1"/>
  <c r="G202" i="1"/>
  <c r="J202" i="1" s="1"/>
  <c r="F202" i="1"/>
  <c r="E202" i="1"/>
  <c r="D202" i="1"/>
  <c r="C202" i="1"/>
  <c r="B202" i="1"/>
  <c r="H202" i="1" s="1"/>
  <c r="A202" i="1"/>
  <c r="H201" i="1"/>
  <c r="G201" i="1"/>
  <c r="J201" i="1" s="1"/>
  <c r="F201" i="1"/>
  <c r="E201" i="1"/>
  <c r="D201" i="1"/>
  <c r="C201" i="1"/>
  <c r="B201" i="1"/>
  <c r="A201" i="1"/>
  <c r="J200" i="1"/>
  <c r="H200" i="1"/>
  <c r="G200" i="1"/>
  <c r="F200" i="1"/>
  <c r="E200" i="1"/>
  <c r="D200" i="1"/>
  <c r="C200" i="1"/>
  <c r="B200" i="1"/>
  <c r="A200" i="1"/>
  <c r="G199" i="1"/>
  <c r="J199" i="1" s="1"/>
  <c r="F199" i="1"/>
  <c r="E199" i="1"/>
  <c r="D199" i="1"/>
  <c r="C199" i="1"/>
  <c r="B199" i="1"/>
  <c r="H199" i="1" s="1"/>
  <c r="A199" i="1"/>
  <c r="G198" i="1"/>
  <c r="J198" i="1" s="1"/>
  <c r="F198" i="1"/>
  <c r="E198" i="1"/>
  <c r="D198" i="1"/>
  <c r="C198" i="1"/>
  <c r="H198" i="1" s="1"/>
  <c r="B198" i="1"/>
  <c r="A198" i="1"/>
  <c r="J197" i="1"/>
  <c r="H197" i="1"/>
  <c r="G197" i="1"/>
  <c r="F197" i="1"/>
  <c r="E197" i="1"/>
  <c r="D197" i="1"/>
  <c r="C197" i="1"/>
  <c r="B197" i="1"/>
  <c r="A197" i="1"/>
  <c r="J196" i="1"/>
  <c r="G196" i="1"/>
  <c r="F196" i="1"/>
  <c r="E196" i="1"/>
  <c r="D196" i="1"/>
  <c r="C196" i="1"/>
  <c r="B196" i="1"/>
  <c r="H196" i="1" s="1"/>
  <c r="A196" i="1"/>
  <c r="J195" i="1"/>
  <c r="G195" i="1"/>
  <c r="F195" i="1"/>
  <c r="E195" i="1"/>
  <c r="D195" i="1"/>
  <c r="C195" i="1"/>
  <c r="B195" i="1"/>
  <c r="H195" i="1" s="1"/>
  <c r="A195" i="1"/>
  <c r="G194" i="1"/>
  <c r="J194" i="1" s="1"/>
  <c r="F194" i="1"/>
  <c r="E194" i="1"/>
  <c r="D194" i="1"/>
  <c r="C194" i="1"/>
  <c r="B194" i="1"/>
  <c r="H194" i="1" s="1"/>
  <c r="A194" i="1"/>
  <c r="H193" i="1"/>
  <c r="G193" i="1"/>
  <c r="J193" i="1" s="1"/>
  <c r="F193" i="1"/>
  <c r="E193" i="1"/>
  <c r="D193" i="1"/>
  <c r="C193" i="1"/>
  <c r="B193" i="1"/>
  <c r="A193" i="1"/>
  <c r="J192" i="1"/>
  <c r="H192" i="1"/>
  <c r="G192" i="1"/>
  <c r="F192" i="1"/>
  <c r="E192" i="1"/>
  <c r="D192" i="1"/>
  <c r="C192" i="1"/>
  <c r="B192" i="1"/>
  <c r="A192" i="1"/>
  <c r="G191" i="1"/>
  <c r="J191" i="1" s="1"/>
  <c r="F191" i="1"/>
  <c r="E191" i="1"/>
  <c r="D191" i="1"/>
  <c r="C191" i="1"/>
  <c r="B191" i="1"/>
  <c r="H191" i="1" s="1"/>
  <c r="A191" i="1"/>
  <c r="G190" i="1"/>
  <c r="J190" i="1" s="1"/>
  <c r="F190" i="1"/>
  <c r="E190" i="1"/>
  <c r="D190" i="1"/>
  <c r="C190" i="1"/>
  <c r="H190" i="1" s="1"/>
  <c r="B190" i="1"/>
  <c r="A190" i="1"/>
  <c r="J189" i="1"/>
  <c r="H189" i="1"/>
  <c r="G189" i="1"/>
  <c r="F189" i="1"/>
  <c r="E189" i="1"/>
  <c r="D189" i="1"/>
  <c r="C189" i="1"/>
  <c r="B189" i="1"/>
  <c r="A189" i="1"/>
  <c r="J188" i="1"/>
  <c r="G188" i="1"/>
  <c r="F188" i="1"/>
  <c r="E188" i="1"/>
  <c r="D188" i="1"/>
  <c r="C188" i="1"/>
  <c r="B188" i="1"/>
  <c r="H188" i="1" s="1"/>
  <c r="A188" i="1"/>
  <c r="G187" i="1"/>
  <c r="J187" i="1" s="1"/>
  <c r="F187" i="1"/>
  <c r="E187" i="1"/>
  <c r="D187" i="1"/>
  <c r="C187" i="1"/>
  <c r="B187" i="1"/>
  <c r="H187" i="1" s="1"/>
  <c r="A187" i="1"/>
  <c r="G186" i="1"/>
  <c r="J186" i="1" s="1"/>
  <c r="F186" i="1"/>
  <c r="E186" i="1"/>
  <c r="D186" i="1"/>
  <c r="C186" i="1"/>
  <c r="B186" i="1"/>
  <c r="H186" i="1" s="1"/>
  <c r="A186" i="1"/>
  <c r="H185" i="1"/>
  <c r="G185" i="1"/>
  <c r="J185" i="1" s="1"/>
  <c r="F185" i="1"/>
  <c r="E185" i="1"/>
  <c r="D185" i="1"/>
  <c r="C185" i="1"/>
  <c r="B185" i="1"/>
  <c r="A185" i="1"/>
  <c r="J184" i="1"/>
  <c r="H184" i="1"/>
  <c r="G184" i="1"/>
  <c r="F184" i="1"/>
  <c r="E184" i="1"/>
  <c r="D184" i="1"/>
  <c r="C184" i="1"/>
  <c r="B184" i="1"/>
  <c r="A184" i="1"/>
  <c r="G183" i="1"/>
  <c r="J183" i="1" s="1"/>
  <c r="F183" i="1"/>
  <c r="E183" i="1"/>
  <c r="D183" i="1"/>
  <c r="C183" i="1"/>
  <c r="B183" i="1"/>
  <c r="H183" i="1" s="1"/>
  <c r="A183" i="1"/>
  <c r="G182" i="1"/>
  <c r="F182" i="1"/>
  <c r="E182" i="1"/>
  <c r="D182" i="1"/>
  <c r="C182" i="1"/>
  <c r="B182" i="1"/>
  <c r="H182" i="1" s="1"/>
  <c r="A182" i="1"/>
  <c r="H181" i="1"/>
  <c r="H180" i="1"/>
  <c r="J179" i="1"/>
  <c r="G179" i="1"/>
  <c r="F179" i="1"/>
  <c r="E179" i="1"/>
  <c r="D179" i="1"/>
  <c r="C179" i="1"/>
  <c r="B179" i="1"/>
  <c r="H179" i="1" s="1"/>
  <c r="J178" i="1"/>
  <c r="G178" i="1"/>
  <c r="F178" i="1"/>
  <c r="E178" i="1"/>
  <c r="D178" i="1"/>
  <c r="C178" i="1"/>
  <c r="B178" i="1"/>
  <c r="H178" i="1" s="1"/>
  <c r="J177" i="1"/>
  <c r="G177" i="1"/>
  <c r="F177" i="1"/>
  <c r="E177" i="1"/>
  <c r="D177" i="1"/>
  <c r="C177" i="1"/>
  <c r="B177" i="1"/>
  <c r="H177" i="1" s="1"/>
  <c r="J176" i="1"/>
  <c r="G176" i="1"/>
  <c r="F176" i="1"/>
  <c r="E176" i="1"/>
  <c r="D176" i="1"/>
  <c r="C176" i="1"/>
  <c r="B176" i="1"/>
  <c r="H176" i="1" s="1"/>
  <c r="G175" i="1"/>
  <c r="J175" i="1" s="1"/>
  <c r="F175" i="1"/>
  <c r="E175" i="1"/>
  <c r="D175" i="1"/>
  <c r="C175" i="1"/>
  <c r="B175" i="1"/>
  <c r="H175" i="1" s="1"/>
  <c r="G174" i="1"/>
  <c r="J174" i="1" s="1"/>
  <c r="F174" i="1"/>
  <c r="E174" i="1"/>
  <c r="D174" i="1"/>
  <c r="C174" i="1"/>
  <c r="B174" i="1"/>
  <c r="H174" i="1" s="1"/>
  <c r="G173" i="1"/>
  <c r="J173" i="1" s="1"/>
  <c r="F173" i="1"/>
  <c r="E173" i="1"/>
  <c r="D173" i="1"/>
  <c r="C173" i="1"/>
  <c r="B173" i="1"/>
  <c r="H173" i="1" s="1"/>
  <c r="G172" i="1"/>
  <c r="J172" i="1" s="1"/>
  <c r="F172" i="1"/>
  <c r="E172" i="1"/>
  <c r="D172" i="1"/>
  <c r="C172" i="1"/>
  <c r="B172" i="1"/>
  <c r="H172" i="1" s="1"/>
  <c r="G171" i="1"/>
  <c r="J171" i="1" s="1"/>
  <c r="F171" i="1"/>
  <c r="E171" i="1"/>
  <c r="D171" i="1"/>
  <c r="C171" i="1"/>
  <c r="B171" i="1"/>
  <c r="H171" i="1" s="1"/>
  <c r="G170" i="1"/>
  <c r="J170" i="1" s="1"/>
  <c r="F170" i="1"/>
  <c r="E170" i="1"/>
  <c r="D170" i="1"/>
  <c r="C170" i="1"/>
  <c r="B170" i="1"/>
  <c r="H170" i="1" s="1"/>
  <c r="G169" i="1"/>
  <c r="J169" i="1" s="1"/>
  <c r="F169" i="1"/>
  <c r="E169" i="1"/>
  <c r="D169" i="1"/>
  <c r="C169" i="1"/>
  <c r="B169" i="1"/>
  <c r="H169" i="1" s="1"/>
  <c r="G168" i="1"/>
  <c r="J168" i="1" s="1"/>
  <c r="F168" i="1"/>
  <c r="E168" i="1"/>
  <c r="D168" i="1"/>
  <c r="C168" i="1"/>
  <c r="B168" i="1"/>
  <c r="H168" i="1" s="1"/>
  <c r="G167" i="1"/>
  <c r="J167" i="1" s="1"/>
  <c r="F167" i="1"/>
  <c r="E167" i="1"/>
  <c r="D167" i="1"/>
  <c r="C167" i="1"/>
  <c r="B167" i="1"/>
  <c r="H167" i="1" s="1"/>
  <c r="G166" i="1"/>
  <c r="J166" i="1" s="1"/>
  <c r="F166" i="1"/>
  <c r="E166" i="1"/>
  <c r="D166" i="1"/>
  <c r="C166" i="1"/>
  <c r="B166" i="1"/>
  <c r="H166" i="1" s="1"/>
  <c r="G165" i="1"/>
  <c r="J165" i="1" s="1"/>
  <c r="F165" i="1"/>
  <c r="E165" i="1"/>
  <c r="D165" i="1"/>
  <c r="C165" i="1"/>
  <c r="B165" i="1"/>
  <c r="H165" i="1" s="1"/>
  <c r="G164" i="1"/>
  <c r="J164" i="1" s="1"/>
  <c r="F164" i="1"/>
  <c r="E164" i="1"/>
  <c r="D164" i="1"/>
  <c r="C164" i="1"/>
  <c r="B164" i="1"/>
  <c r="H164" i="1" s="1"/>
  <c r="G163" i="1"/>
  <c r="J163" i="1" s="1"/>
  <c r="F163" i="1"/>
  <c r="E163" i="1"/>
  <c r="D163" i="1"/>
  <c r="C163" i="1"/>
  <c r="B163" i="1"/>
  <c r="H163" i="1" s="1"/>
  <c r="G162" i="1"/>
  <c r="J162" i="1" s="1"/>
  <c r="F162" i="1"/>
  <c r="E162" i="1"/>
  <c r="D162" i="1"/>
  <c r="C162" i="1"/>
  <c r="B162" i="1"/>
  <c r="H162" i="1" s="1"/>
  <c r="G161" i="1"/>
  <c r="J161" i="1" s="1"/>
  <c r="F161" i="1"/>
  <c r="E161" i="1"/>
  <c r="D161" i="1"/>
  <c r="C161" i="1"/>
  <c r="B161" i="1"/>
  <c r="H161" i="1" s="1"/>
  <c r="G160" i="1"/>
  <c r="J160" i="1" s="1"/>
  <c r="F160" i="1"/>
  <c r="E160" i="1"/>
  <c r="D160" i="1"/>
  <c r="C160" i="1"/>
  <c r="B160" i="1"/>
  <c r="H160" i="1" s="1"/>
  <c r="G159" i="1"/>
  <c r="J159" i="1" s="1"/>
  <c r="F159" i="1"/>
  <c r="E159" i="1"/>
  <c r="D159" i="1"/>
  <c r="C159" i="1"/>
  <c r="B159" i="1"/>
  <c r="H159" i="1" s="1"/>
  <c r="G158" i="1"/>
  <c r="J158" i="1" s="1"/>
  <c r="F158" i="1"/>
  <c r="E158" i="1"/>
  <c r="D158" i="1"/>
  <c r="C158" i="1"/>
  <c r="B158" i="1"/>
  <c r="H158" i="1" s="1"/>
  <c r="G157" i="1"/>
  <c r="J157" i="1" s="1"/>
  <c r="F157" i="1"/>
  <c r="E157" i="1"/>
  <c r="D157" i="1"/>
  <c r="C157" i="1"/>
  <c r="B157" i="1"/>
  <c r="H157" i="1" s="1"/>
  <c r="G156" i="1"/>
  <c r="J156" i="1" s="1"/>
  <c r="F156" i="1"/>
  <c r="E156" i="1"/>
  <c r="D156" i="1"/>
  <c r="C156" i="1"/>
  <c r="B156" i="1"/>
  <c r="H156" i="1" s="1"/>
  <c r="G155" i="1"/>
  <c r="J155" i="1" s="1"/>
  <c r="F155" i="1"/>
  <c r="E155" i="1"/>
  <c r="D155" i="1"/>
  <c r="C155" i="1"/>
  <c r="B155" i="1"/>
  <c r="H155" i="1" s="1"/>
  <c r="G154" i="1"/>
  <c r="J154" i="1" s="1"/>
  <c r="F154" i="1"/>
  <c r="E154" i="1"/>
  <c r="D154" i="1"/>
  <c r="C154" i="1"/>
  <c r="B154" i="1"/>
  <c r="H154" i="1" s="1"/>
  <c r="G153" i="1"/>
  <c r="J153" i="1" s="1"/>
  <c r="F153" i="1"/>
  <c r="E153" i="1"/>
  <c r="D153" i="1"/>
  <c r="C153" i="1"/>
  <c r="B153" i="1"/>
  <c r="H153" i="1" s="1"/>
  <c r="G152" i="1"/>
  <c r="J152" i="1" s="1"/>
  <c r="F152" i="1"/>
  <c r="E152" i="1"/>
  <c r="D152" i="1"/>
  <c r="C152" i="1"/>
  <c r="B152" i="1"/>
  <c r="H152" i="1" s="1"/>
  <c r="G151" i="1"/>
  <c r="J151" i="1" s="1"/>
  <c r="F151" i="1"/>
  <c r="E151" i="1"/>
  <c r="D151" i="1"/>
  <c r="C151" i="1"/>
  <c r="B151" i="1"/>
  <c r="H151" i="1" s="1"/>
  <c r="G150" i="1"/>
  <c r="J150" i="1" s="1"/>
  <c r="F150" i="1"/>
  <c r="E150" i="1"/>
  <c r="D150" i="1"/>
  <c r="C150" i="1"/>
  <c r="B150" i="1"/>
  <c r="H150" i="1" s="1"/>
  <c r="G149" i="1"/>
  <c r="J149" i="1" s="1"/>
  <c r="F149" i="1"/>
  <c r="E149" i="1"/>
  <c r="D149" i="1"/>
  <c r="C149" i="1"/>
  <c r="B149" i="1"/>
  <c r="H149" i="1" s="1"/>
  <c r="G148" i="1"/>
  <c r="J148" i="1" s="1"/>
  <c r="F148" i="1"/>
  <c r="E148" i="1"/>
  <c r="D148" i="1"/>
  <c r="C148" i="1"/>
  <c r="B148" i="1"/>
  <c r="H148" i="1" s="1"/>
  <c r="G147" i="1"/>
  <c r="J147" i="1" s="1"/>
  <c r="F147" i="1"/>
  <c r="E147" i="1"/>
  <c r="D147" i="1"/>
  <c r="C147" i="1"/>
  <c r="B147" i="1"/>
  <c r="H147" i="1" s="1"/>
  <c r="G146" i="1"/>
  <c r="J146" i="1" s="1"/>
  <c r="F146" i="1"/>
  <c r="E146" i="1"/>
  <c r="D146" i="1"/>
  <c r="C146" i="1"/>
  <c r="B146" i="1"/>
  <c r="H146" i="1" s="1"/>
  <c r="G145" i="1"/>
  <c r="J145" i="1" s="1"/>
  <c r="F145" i="1"/>
  <c r="E145" i="1"/>
  <c r="D145" i="1"/>
  <c r="C145" i="1"/>
  <c r="B145" i="1"/>
  <c r="H145" i="1" s="1"/>
  <c r="G144" i="1"/>
  <c r="J144" i="1" s="1"/>
  <c r="F144" i="1"/>
  <c r="E144" i="1"/>
  <c r="D144" i="1"/>
  <c r="C144" i="1"/>
  <c r="B144" i="1"/>
  <c r="H144" i="1" s="1"/>
  <c r="G143" i="1"/>
  <c r="J143" i="1" s="1"/>
  <c r="F143" i="1"/>
  <c r="E143" i="1"/>
  <c r="D143" i="1"/>
  <c r="C143" i="1"/>
  <c r="B143" i="1"/>
  <c r="H143" i="1" s="1"/>
  <c r="G142" i="1"/>
  <c r="J142" i="1" s="1"/>
  <c r="F142" i="1"/>
  <c r="E142" i="1"/>
  <c r="D142" i="1"/>
  <c r="C142" i="1"/>
  <c r="B142" i="1"/>
  <c r="H142" i="1" s="1"/>
  <c r="G141" i="1"/>
  <c r="J141" i="1" s="1"/>
  <c r="F141" i="1"/>
  <c r="E141" i="1"/>
  <c r="D141" i="1"/>
  <c r="C141" i="1"/>
  <c r="B141" i="1"/>
  <c r="H141" i="1" s="1"/>
  <c r="G140" i="1"/>
  <c r="J140" i="1" s="1"/>
  <c r="F140" i="1"/>
  <c r="E140" i="1"/>
  <c r="D140" i="1"/>
  <c r="C140" i="1"/>
  <c r="B140" i="1"/>
  <c r="H140" i="1" s="1"/>
  <c r="G139" i="1"/>
  <c r="J139" i="1" s="1"/>
  <c r="F139" i="1"/>
  <c r="E139" i="1"/>
  <c r="D139" i="1"/>
  <c r="C139" i="1"/>
  <c r="B139" i="1"/>
  <c r="H139" i="1" s="1"/>
  <c r="G138" i="1"/>
  <c r="J138" i="1" s="1"/>
  <c r="F138" i="1"/>
  <c r="E138" i="1"/>
  <c r="D138" i="1"/>
  <c r="C138" i="1"/>
  <c r="B138" i="1"/>
  <c r="H138" i="1" s="1"/>
  <c r="G137" i="1"/>
  <c r="J137" i="1" s="1"/>
  <c r="F137" i="1"/>
  <c r="E137" i="1"/>
  <c r="D137" i="1"/>
  <c r="C137" i="1"/>
  <c r="B137" i="1"/>
  <c r="H137" i="1" s="1"/>
  <c r="G136" i="1"/>
  <c r="J136" i="1" s="1"/>
  <c r="F136" i="1"/>
  <c r="E136" i="1"/>
  <c r="D136" i="1"/>
  <c r="C136" i="1"/>
  <c r="B136" i="1"/>
  <c r="H136" i="1" s="1"/>
  <c r="G135" i="1"/>
  <c r="J135" i="1" s="1"/>
  <c r="F135" i="1"/>
  <c r="E135" i="1"/>
  <c r="D135" i="1"/>
  <c r="C135" i="1"/>
  <c r="B135" i="1"/>
  <c r="H135" i="1" s="1"/>
  <c r="G134" i="1"/>
  <c r="J134" i="1" s="1"/>
  <c r="F134" i="1"/>
  <c r="E134" i="1"/>
  <c r="D134" i="1"/>
  <c r="C134" i="1"/>
  <c r="B134" i="1"/>
  <c r="H134" i="1" s="1"/>
  <c r="G133" i="1"/>
  <c r="J133" i="1" s="1"/>
  <c r="F133" i="1"/>
  <c r="E133" i="1"/>
  <c r="D133" i="1"/>
  <c r="C133" i="1"/>
  <c r="B133" i="1"/>
  <c r="H133" i="1" s="1"/>
  <c r="G132" i="1"/>
  <c r="J132" i="1" s="1"/>
  <c r="F132" i="1"/>
  <c r="E132" i="1"/>
  <c r="D132" i="1"/>
  <c r="C132" i="1"/>
  <c r="B132" i="1"/>
  <c r="H132" i="1" s="1"/>
  <c r="G131" i="1"/>
  <c r="J131" i="1" s="1"/>
  <c r="F131" i="1"/>
  <c r="E131" i="1"/>
  <c r="D131" i="1"/>
  <c r="C131" i="1"/>
  <c r="B131" i="1"/>
  <c r="H131" i="1" s="1"/>
  <c r="G130" i="1"/>
  <c r="J130" i="1" s="1"/>
  <c r="F130" i="1"/>
  <c r="E130" i="1"/>
  <c r="D130" i="1"/>
  <c r="C130" i="1"/>
  <c r="B130" i="1"/>
  <c r="H130" i="1" s="1"/>
  <c r="G129" i="1"/>
  <c r="J129" i="1" s="1"/>
  <c r="F129" i="1"/>
  <c r="E129" i="1"/>
  <c r="D129" i="1"/>
  <c r="C129" i="1"/>
  <c r="B129" i="1"/>
  <c r="H129" i="1" s="1"/>
  <c r="G128" i="1"/>
  <c r="J128" i="1" s="1"/>
  <c r="F128" i="1"/>
  <c r="E128" i="1"/>
  <c r="D128" i="1"/>
  <c r="C128" i="1"/>
  <c r="B128" i="1"/>
  <c r="H128" i="1" s="1"/>
  <c r="G127" i="1"/>
  <c r="J127" i="1" s="1"/>
  <c r="F127" i="1"/>
  <c r="E127" i="1"/>
  <c r="D127" i="1"/>
  <c r="C127" i="1"/>
  <c r="B127" i="1"/>
  <c r="H127" i="1" s="1"/>
  <c r="G126" i="1"/>
  <c r="J126" i="1" s="1"/>
  <c r="F126" i="1"/>
  <c r="E126" i="1"/>
  <c r="D126" i="1"/>
  <c r="C126" i="1"/>
  <c r="B126" i="1"/>
  <c r="H126" i="1" s="1"/>
  <c r="G125" i="1"/>
  <c r="J125" i="1" s="1"/>
  <c r="F125" i="1"/>
  <c r="E125" i="1"/>
  <c r="D125" i="1"/>
  <c r="C125" i="1"/>
  <c r="B125" i="1"/>
  <c r="H125" i="1" s="1"/>
  <c r="G124" i="1"/>
  <c r="J124" i="1" s="1"/>
  <c r="F124" i="1"/>
  <c r="E124" i="1"/>
  <c r="D124" i="1"/>
  <c r="C124" i="1"/>
  <c r="B124" i="1"/>
  <c r="H124" i="1" s="1"/>
  <c r="G123" i="1"/>
  <c r="J123" i="1" s="1"/>
  <c r="F123" i="1"/>
  <c r="E123" i="1"/>
  <c r="D123" i="1"/>
  <c r="C123" i="1"/>
  <c r="B123" i="1"/>
  <c r="H123" i="1" s="1"/>
  <c r="G122" i="1"/>
  <c r="J122" i="1" s="1"/>
  <c r="F122" i="1"/>
  <c r="E122" i="1"/>
  <c r="D122" i="1"/>
  <c r="C122" i="1"/>
  <c r="B122" i="1"/>
  <c r="H122" i="1" s="1"/>
  <c r="G121" i="1"/>
  <c r="J121" i="1" s="1"/>
  <c r="F121" i="1"/>
  <c r="E121" i="1"/>
  <c r="D121" i="1"/>
  <c r="C121" i="1"/>
  <c r="B121" i="1"/>
  <c r="H121" i="1" s="1"/>
  <c r="G120" i="1"/>
  <c r="J120" i="1" s="1"/>
  <c r="F120" i="1"/>
  <c r="E120" i="1"/>
  <c r="D120" i="1"/>
  <c r="C120" i="1"/>
  <c r="B120" i="1"/>
  <c r="H120" i="1" s="1"/>
  <c r="G119" i="1"/>
  <c r="J119" i="1" s="1"/>
  <c r="F119" i="1"/>
  <c r="E119" i="1"/>
  <c r="D119" i="1"/>
  <c r="C119" i="1"/>
  <c r="B119" i="1"/>
  <c r="H119" i="1" s="1"/>
  <c r="G118" i="1"/>
  <c r="J118" i="1" s="1"/>
  <c r="F118" i="1"/>
  <c r="E118" i="1"/>
  <c r="D118" i="1"/>
  <c r="C118" i="1"/>
  <c r="B118" i="1"/>
  <c r="H118" i="1" s="1"/>
  <c r="G117" i="1"/>
  <c r="J117" i="1" s="1"/>
  <c r="F117" i="1"/>
  <c r="E117" i="1"/>
  <c r="D117" i="1"/>
  <c r="C117" i="1"/>
  <c r="B117" i="1"/>
  <c r="H117" i="1" s="1"/>
  <c r="G116" i="1"/>
  <c r="J116" i="1" s="1"/>
  <c r="F116" i="1"/>
  <c r="E116" i="1"/>
  <c r="D116" i="1"/>
  <c r="C116" i="1"/>
  <c r="B116" i="1"/>
  <c r="H116" i="1" s="1"/>
  <c r="G115" i="1"/>
  <c r="J115" i="1" s="1"/>
  <c r="F115" i="1"/>
  <c r="E115" i="1"/>
  <c r="D115" i="1"/>
  <c r="C115" i="1"/>
  <c r="B115" i="1"/>
  <c r="H115" i="1" s="1"/>
  <c r="G114" i="1"/>
  <c r="J114" i="1" s="1"/>
  <c r="F114" i="1"/>
  <c r="E114" i="1"/>
  <c r="D114" i="1"/>
  <c r="C114" i="1"/>
  <c r="B114" i="1"/>
  <c r="H114" i="1" s="1"/>
  <c r="G113" i="1"/>
  <c r="J113" i="1" s="1"/>
  <c r="F113" i="1"/>
  <c r="E113" i="1"/>
  <c r="D113" i="1"/>
  <c r="C113" i="1"/>
  <c r="B113" i="1"/>
  <c r="H113" i="1" s="1"/>
  <c r="G112" i="1"/>
  <c r="J112" i="1" s="1"/>
  <c r="F112" i="1"/>
  <c r="E112" i="1"/>
  <c r="D112" i="1"/>
  <c r="C112" i="1"/>
  <c r="B112" i="1"/>
  <c r="H112" i="1" s="1"/>
  <c r="G111" i="1"/>
  <c r="J111" i="1" s="1"/>
  <c r="F111" i="1"/>
  <c r="E111" i="1"/>
  <c r="D111" i="1"/>
  <c r="C111" i="1"/>
  <c r="B111" i="1"/>
  <c r="H111" i="1" s="1"/>
  <c r="G110" i="1"/>
  <c r="J110" i="1" s="1"/>
  <c r="F110" i="1"/>
  <c r="E110" i="1"/>
  <c r="D110" i="1"/>
  <c r="C110" i="1"/>
  <c r="B110" i="1"/>
  <c r="H110" i="1" s="1"/>
  <c r="G109" i="1"/>
  <c r="J109" i="1" s="1"/>
  <c r="F109" i="1"/>
  <c r="E109" i="1"/>
  <c r="D109" i="1"/>
  <c r="C109" i="1"/>
  <c r="B109" i="1"/>
  <c r="H109" i="1" s="1"/>
  <c r="G108" i="1"/>
  <c r="J108" i="1" s="1"/>
  <c r="F108" i="1"/>
  <c r="E108" i="1"/>
  <c r="D108" i="1"/>
  <c r="C108" i="1"/>
  <c r="B108" i="1"/>
  <c r="H108" i="1" s="1"/>
  <c r="G107" i="1"/>
  <c r="J107" i="1" s="1"/>
  <c r="F107" i="1"/>
  <c r="E107" i="1"/>
  <c r="D107" i="1"/>
  <c r="C107" i="1"/>
  <c r="B107" i="1"/>
  <c r="H107" i="1" s="1"/>
  <c r="G106" i="1"/>
  <c r="J106" i="1" s="1"/>
  <c r="F106" i="1"/>
  <c r="E106" i="1"/>
  <c r="D106" i="1"/>
  <c r="C106" i="1"/>
  <c r="B106" i="1"/>
  <c r="H106" i="1" s="1"/>
  <c r="G105" i="1"/>
  <c r="J105" i="1" s="1"/>
  <c r="F105" i="1"/>
  <c r="E105" i="1"/>
  <c r="D105" i="1"/>
  <c r="C105" i="1"/>
  <c r="B105" i="1"/>
  <c r="H105" i="1" s="1"/>
  <c r="G104" i="1"/>
  <c r="J104" i="1" s="1"/>
  <c r="F104" i="1"/>
  <c r="E104" i="1"/>
  <c r="D104" i="1"/>
  <c r="C104" i="1"/>
  <c r="B104" i="1"/>
  <c r="H104" i="1" s="1"/>
  <c r="G103" i="1"/>
  <c r="J103" i="1" s="1"/>
  <c r="F103" i="1"/>
  <c r="E103" i="1"/>
  <c r="D103" i="1"/>
  <c r="C103" i="1"/>
  <c r="B103" i="1"/>
  <c r="H103" i="1" s="1"/>
  <c r="G102" i="1"/>
  <c r="J102" i="1" s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B101" i="1"/>
  <c r="H101" i="1" s="1"/>
  <c r="G100" i="1"/>
  <c r="J100" i="1" s="1"/>
  <c r="F100" i="1"/>
  <c r="E100" i="1"/>
  <c r="D100" i="1"/>
  <c r="C100" i="1"/>
  <c r="B100" i="1"/>
  <c r="H100" i="1" s="1"/>
  <c r="G99" i="1"/>
  <c r="J99" i="1" s="1"/>
  <c r="F99" i="1"/>
  <c r="E99" i="1"/>
  <c r="D99" i="1"/>
  <c r="C99" i="1"/>
  <c r="B99" i="1"/>
  <c r="H99" i="1" s="1"/>
  <c r="G98" i="1"/>
  <c r="J98" i="1" s="1"/>
  <c r="F98" i="1"/>
  <c r="E98" i="1"/>
  <c r="D98" i="1"/>
  <c r="C98" i="1"/>
  <c r="B98" i="1"/>
  <c r="H98" i="1" s="1"/>
  <c r="G97" i="1"/>
  <c r="J97" i="1" s="1"/>
  <c r="F97" i="1"/>
  <c r="E97" i="1"/>
  <c r="D97" i="1"/>
  <c r="C97" i="1"/>
  <c r="B97" i="1"/>
  <c r="H97" i="1" s="1"/>
  <c r="G96" i="1"/>
  <c r="J96" i="1" s="1"/>
  <c r="F96" i="1"/>
  <c r="E96" i="1"/>
  <c r="D96" i="1"/>
  <c r="C96" i="1"/>
  <c r="B96" i="1"/>
  <c r="H96" i="1" s="1"/>
  <c r="G95" i="1"/>
  <c r="J95" i="1" s="1"/>
  <c r="F95" i="1"/>
  <c r="E95" i="1"/>
  <c r="D95" i="1"/>
  <c r="C95" i="1"/>
  <c r="B95" i="1"/>
  <c r="H95" i="1" s="1"/>
  <c r="G94" i="1"/>
  <c r="J94" i="1" s="1"/>
  <c r="F94" i="1"/>
  <c r="E94" i="1"/>
  <c r="D94" i="1"/>
  <c r="C94" i="1"/>
  <c r="B94" i="1"/>
  <c r="H94" i="1" s="1"/>
  <c r="G93" i="1"/>
  <c r="J93" i="1" s="1"/>
  <c r="F93" i="1"/>
  <c r="E93" i="1"/>
  <c r="D93" i="1"/>
  <c r="C93" i="1"/>
  <c r="B93" i="1"/>
  <c r="H93" i="1" s="1"/>
  <c r="G92" i="1"/>
  <c r="J92" i="1" s="1"/>
  <c r="F92" i="1"/>
  <c r="E92" i="1"/>
  <c r="D92" i="1"/>
  <c r="C92" i="1"/>
  <c r="B92" i="1"/>
  <c r="H92" i="1" s="1"/>
  <c r="G91" i="1"/>
  <c r="J91" i="1" s="1"/>
  <c r="F91" i="1"/>
  <c r="E91" i="1"/>
  <c r="D91" i="1"/>
  <c r="C91" i="1"/>
  <c r="B91" i="1"/>
  <c r="H91" i="1" s="1"/>
  <c r="G90" i="1"/>
  <c r="J90" i="1" s="1"/>
  <c r="F90" i="1"/>
  <c r="E90" i="1"/>
  <c r="D90" i="1"/>
  <c r="C90" i="1"/>
  <c r="B90" i="1"/>
  <c r="H90" i="1" s="1"/>
  <c r="G89" i="1"/>
  <c r="J89" i="1" s="1"/>
  <c r="F89" i="1"/>
  <c r="E89" i="1"/>
  <c r="D89" i="1"/>
  <c r="C89" i="1"/>
  <c r="B89" i="1"/>
  <c r="H89" i="1" s="1"/>
  <c r="G88" i="1"/>
  <c r="J88" i="1" s="1"/>
  <c r="F88" i="1"/>
  <c r="E88" i="1"/>
  <c r="D88" i="1"/>
  <c r="C88" i="1"/>
  <c r="B88" i="1"/>
  <c r="H88" i="1" s="1"/>
  <c r="G87" i="1"/>
  <c r="J87" i="1" s="1"/>
  <c r="F87" i="1"/>
  <c r="E87" i="1"/>
  <c r="D87" i="1"/>
  <c r="C87" i="1"/>
  <c r="B87" i="1"/>
  <c r="H87" i="1" s="1"/>
  <c r="G86" i="1"/>
  <c r="J86" i="1" s="1"/>
  <c r="F86" i="1"/>
  <c r="E86" i="1"/>
  <c r="D86" i="1"/>
  <c r="C86" i="1"/>
  <c r="B86" i="1"/>
  <c r="H86" i="1" s="1"/>
  <c r="G85" i="1"/>
  <c r="J85" i="1" s="1"/>
  <c r="F85" i="1"/>
  <c r="E85" i="1"/>
  <c r="D85" i="1"/>
  <c r="C85" i="1"/>
  <c r="B85" i="1"/>
  <c r="H85" i="1" s="1"/>
  <c r="G84" i="1"/>
  <c r="J84" i="1" s="1"/>
  <c r="F84" i="1"/>
  <c r="E84" i="1"/>
  <c r="D84" i="1"/>
  <c r="C84" i="1"/>
  <c r="B84" i="1"/>
  <c r="H84" i="1" s="1"/>
  <c r="G83" i="1"/>
  <c r="J83" i="1" s="1"/>
  <c r="F83" i="1"/>
  <c r="E83" i="1"/>
  <c r="D83" i="1"/>
  <c r="C83" i="1"/>
  <c r="B83" i="1"/>
  <c r="H83" i="1" s="1"/>
  <c r="G82" i="1"/>
  <c r="J82" i="1" s="1"/>
  <c r="F82" i="1"/>
  <c r="E82" i="1"/>
  <c r="D82" i="1"/>
  <c r="C82" i="1"/>
  <c r="B82" i="1"/>
  <c r="H82" i="1" s="1"/>
  <c r="G81" i="1"/>
  <c r="J81" i="1" s="1"/>
  <c r="F81" i="1"/>
  <c r="E81" i="1"/>
  <c r="D81" i="1"/>
  <c r="C81" i="1"/>
  <c r="B81" i="1"/>
  <c r="H81" i="1" s="1"/>
  <c r="G80" i="1"/>
  <c r="J80" i="1" s="1"/>
  <c r="F80" i="1"/>
  <c r="E80" i="1"/>
  <c r="D80" i="1"/>
  <c r="C80" i="1"/>
  <c r="B80" i="1"/>
  <c r="H80" i="1" s="1"/>
  <c r="G79" i="1"/>
  <c r="J79" i="1" s="1"/>
  <c r="F79" i="1"/>
  <c r="E79" i="1"/>
  <c r="D79" i="1"/>
  <c r="C79" i="1"/>
  <c r="B79" i="1"/>
  <c r="H79" i="1" s="1"/>
  <c r="G78" i="1"/>
  <c r="J78" i="1" s="1"/>
  <c r="F78" i="1"/>
  <c r="E78" i="1"/>
  <c r="D78" i="1"/>
  <c r="C78" i="1"/>
  <c r="B78" i="1"/>
  <c r="H78" i="1" s="1"/>
  <c r="G77" i="1"/>
  <c r="J77" i="1" s="1"/>
  <c r="F77" i="1"/>
  <c r="E77" i="1"/>
  <c r="D77" i="1"/>
  <c r="C77" i="1"/>
  <c r="B77" i="1"/>
  <c r="H77" i="1" s="1"/>
  <c r="G76" i="1"/>
  <c r="J76" i="1" s="1"/>
  <c r="F76" i="1"/>
  <c r="E76" i="1"/>
  <c r="D76" i="1"/>
  <c r="C76" i="1"/>
  <c r="B76" i="1"/>
  <c r="H76" i="1" s="1"/>
  <c r="G75" i="1"/>
  <c r="J75" i="1" s="1"/>
  <c r="F75" i="1"/>
  <c r="E75" i="1"/>
  <c r="D75" i="1"/>
  <c r="C75" i="1"/>
  <c r="B75" i="1"/>
  <c r="H75" i="1" s="1"/>
  <c r="G74" i="1"/>
  <c r="J74" i="1" s="1"/>
  <c r="F74" i="1"/>
  <c r="E74" i="1"/>
  <c r="D74" i="1"/>
  <c r="C74" i="1"/>
  <c r="B74" i="1"/>
  <c r="H74" i="1" s="1"/>
  <c r="G73" i="1"/>
  <c r="J73" i="1" s="1"/>
  <c r="F73" i="1"/>
  <c r="E73" i="1"/>
  <c r="D73" i="1"/>
  <c r="C73" i="1"/>
  <c r="B73" i="1"/>
  <c r="H73" i="1" s="1"/>
  <c r="G72" i="1"/>
  <c r="J72" i="1" s="1"/>
  <c r="F72" i="1"/>
  <c r="E72" i="1"/>
  <c r="D72" i="1"/>
  <c r="C72" i="1"/>
  <c r="B72" i="1"/>
  <c r="H72" i="1" s="1"/>
  <c r="G71" i="1"/>
  <c r="J71" i="1" s="1"/>
  <c r="F71" i="1"/>
  <c r="E71" i="1"/>
  <c r="D71" i="1"/>
  <c r="C71" i="1"/>
  <c r="B71" i="1"/>
  <c r="H71" i="1" s="1"/>
  <c r="G70" i="1"/>
  <c r="J70" i="1" s="1"/>
  <c r="F70" i="1"/>
  <c r="E70" i="1"/>
  <c r="D70" i="1"/>
  <c r="C70" i="1"/>
  <c r="B70" i="1"/>
  <c r="H70" i="1" s="1"/>
  <c r="G69" i="1"/>
  <c r="J69" i="1" s="1"/>
  <c r="F69" i="1"/>
  <c r="E69" i="1"/>
  <c r="D69" i="1"/>
  <c r="C69" i="1"/>
  <c r="B69" i="1"/>
  <c r="H69" i="1" s="1"/>
  <c r="G68" i="1"/>
  <c r="J68" i="1" s="1"/>
  <c r="F68" i="1"/>
  <c r="E68" i="1"/>
  <c r="D68" i="1"/>
  <c r="C68" i="1"/>
  <c r="B68" i="1"/>
  <c r="H68" i="1" s="1"/>
  <c r="G67" i="1"/>
  <c r="J67" i="1" s="1"/>
  <c r="F67" i="1"/>
  <c r="E67" i="1"/>
  <c r="D67" i="1"/>
  <c r="C67" i="1"/>
  <c r="B67" i="1"/>
  <c r="H67" i="1" s="1"/>
  <c r="G66" i="1"/>
  <c r="J66" i="1" s="1"/>
  <c r="F66" i="1"/>
  <c r="E66" i="1"/>
  <c r="D66" i="1"/>
  <c r="C66" i="1"/>
  <c r="B66" i="1"/>
  <c r="H66" i="1" s="1"/>
  <c r="G65" i="1"/>
  <c r="J65" i="1" s="1"/>
  <c r="F65" i="1"/>
  <c r="E65" i="1"/>
  <c r="D65" i="1"/>
  <c r="C65" i="1"/>
  <c r="B65" i="1"/>
  <c r="H65" i="1" s="1"/>
  <c r="G64" i="1"/>
  <c r="J64" i="1" s="1"/>
  <c r="F64" i="1"/>
  <c r="E64" i="1"/>
  <c r="D64" i="1"/>
  <c r="C64" i="1"/>
  <c r="B64" i="1"/>
  <c r="H64" i="1" s="1"/>
  <c r="G63" i="1"/>
  <c r="J63" i="1" s="1"/>
  <c r="F63" i="1"/>
  <c r="E63" i="1"/>
  <c r="D63" i="1"/>
  <c r="C63" i="1"/>
  <c r="B63" i="1"/>
  <c r="H63" i="1" s="1"/>
  <c r="G62" i="1"/>
  <c r="J62" i="1" s="1"/>
  <c r="F62" i="1"/>
  <c r="E62" i="1"/>
  <c r="D62" i="1"/>
  <c r="C62" i="1"/>
  <c r="B62" i="1"/>
  <c r="H62" i="1" s="1"/>
  <c r="G61" i="1"/>
  <c r="J61" i="1" s="1"/>
  <c r="F61" i="1"/>
  <c r="E61" i="1"/>
  <c r="D61" i="1"/>
  <c r="C61" i="1"/>
  <c r="B61" i="1"/>
  <c r="H61" i="1" s="1"/>
  <c r="G60" i="1"/>
  <c r="J60" i="1" s="1"/>
  <c r="F60" i="1"/>
  <c r="E60" i="1"/>
  <c r="D60" i="1"/>
  <c r="C60" i="1"/>
  <c r="B60" i="1"/>
  <c r="H60" i="1" s="1"/>
  <c r="G59" i="1"/>
  <c r="J59" i="1" s="1"/>
  <c r="F59" i="1"/>
  <c r="E59" i="1"/>
  <c r="D59" i="1"/>
  <c r="C59" i="1"/>
  <c r="B59" i="1"/>
  <c r="H59" i="1" s="1"/>
  <c r="G58" i="1"/>
  <c r="J58" i="1" s="1"/>
  <c r="F58" i="1"/>
  <c r="E58" i="1"/>
  <c r="D58" i="1"/>
  <c r="C58" i="1"/>
  <c r="B58" i="1"/>
  <c r="H58" i="1" s="1"/>
  <c r="G57" i="1"/>
  <c r="J57" i="1" s="1"/>
  <c r="F57" i="1"/>
  <c r="E57" i="1"/>
  <c r="D57" i="1"/>
  <c r="C57" i="1"/>
  <c r="B57" i="1"/>
  <c r="H57" i="1" s="1"/>
  <c r="G56" i="1"/>
  <c r="J56" i="1" s="1"/>
  <c r="F56" i="1"/>
  <c r="E56" i="1"/>
  <c r="D56" i="1"/>
  <c r="C56" i="1"/>
  <c r="B56" i="1"/>
  <c r="H56" i="1" s="1"/>
  <c r="G55" i="1"/>
  <c r="J55" i="1" s="1"/>
  <c r="F55" i="1"/>
  <c r="E55" i="1"/>
  <c r="D55" i="1"/>
  <c r="C55" i="1"/>
  <c r="B55" i="1"/>
  <c r="H55" i="1" s="1"/>
  <c r="G54" i="1"/>
  <c r="J54" i="1" s="1"/>
  <c r="F54" i="1"/>
  <c r="E54" i="1"/>
  <c r="D54" i="1"/>
  <c r="C54" i="1"/>
  <c r="B54" i="1"/>
  <c r="H54" i="1" s="1"/>
  <c r="G53" i="1"/>
  <c r="J53" i="1" s="1"/>
  <c r="F53" i="1"/>
  <c r="E53" i="1"/>
  <c r="D53" i="1"/>
  <c r="C53" i="1"/>
  <c r="B53" i="1"/>
  <c r="H53" i="1" s="1"/>
  <c r="G52" i="1"/>
  <c r="J52" i="1" s="1"/>
  <c r="F52" i="1"/>
  <c r="E52" i="1"/>
  <c r="D52" i="1"/>
  <c r="C52" i="1"/>
  <c r="B52" i="1"/>
  <c r="H52" i="1" s="1"/>
  <c r="G51" i="1"/>
  <c r="J51" i="1" s="1"/>
  <c r="F51" i="1"/>
  <c r="E51" i="1"/>
  <c r="D51" i="1"/>
  <c r="C51" i="1"/>
  <c r="B51" i="1"/>
  <c r="H51" i="1" s="1"/>
  <c r="G50" i="1"/>
  <c r="J50" i="1" s="1"/>
  <c r="F50" i="1"/>
  <c r="E50" i="1"/>
  <c r="D50" i="1"/>
  <c r="C50" i="1"/>
  <c r="B50" i="1"/>
  <c r="H50" i="1" s="1"/>
  <c r="G49" i="1"/>
  <c r="J49" i="1" s="1"/>
  <c r="F49" i="1"/>
  <c r="E49" i="1"/>
  <c r="D49" i="1"/>
  <c r="C49" i="1"/>
  <c r="B49" i="1"/>
  <c r="H49" i="1" s="1"/>
  <c r="G48" i="1"/>
  <c r="J48" i="1" s="1"/>
  <c r="F48" i="1"/>
  <c r="E48" i="1"/>
  <c r="D48" i="1"/>
  <c r="C48" i="1"/>
  <c r="B48" i="1"/>
  <c r="H48" i="1" s="1"/>
  <c r="G47" i="1"/>
  <c r="J47" i="1" s="1"/>
  <c r="F47" i="1"/>
  <c r="E47" i="1"/>
  <c r="D47" i="1"/>
  <c r="C47" i="1"/>
  <c r="B47" i="1"/>
  <c r="H47" i="1" s="1"/>
  <c r="G46" i="1"/>
  <c r="J46" i="1" s="1"/>
  <c r="F46" i="1"/>
  <c r="E46" i="1"/>
  <c r="D46" i="1"/>
  <c r="C46" i="1"/>
  <c r="B46" i="1"/>
  <c r="H46" i="1" s="1"/>
  <c r="G45" i="1"/>
  <c r="J45" i="1" s="1"/>
  <c r="F45" i="1"/>
  <c r="E45" i="1"/>
  <c r="D45" i="1"/>
  <c r="C45" i="1"/>
  <c r="B45" i="1"/>
  <c r="H45" i="1" s="1"/>
  <c r="G44" i="1"/>
  <c r="J44" i="1" s="1"/>
  <c r="F44" i="1"/>
  <c r="E44" i="1"/>
  <c r="D44" i="1"/>
  <c r="C44" i="1"/>
  <c r="B44" i="1"/>
  <c r="H44" i="1" s="1"/>
  <c r="G43" i="1"/>
  <c r="J43" i="1" s="1"/>
  <c r="F43" i="1"/>
  <c r="E43" i="1"/>
  <c r="D43" i="1"/>
  <c r="C43" i="1"/>
  <c r="B43" i="1"/>
  <c r="H43" i="1" s="1"/>
  <c r="G42" i="1"/>
  <c r="J42" i="1" s="1"/>
  <c r="F42" i="1"/>
  <c r="E42" i="1"/>
  <c r="D42" i="1"/>
  <c r="C42" i="1"/>
  <c r="B42" i="1"/>
  <c r="H42" i="1" s="1"/>
  <c r="G41" i="1"/>
  <c r="J41" i="1" s="1"/>
  <c r="F41" i="1"/>
  <c r="E41" i="1"/>
  <c r="D41" i="1"/>
  <c r="C41" i="1"/>
  <c r="B41" i="1"/>
  <c r="H41" i="1" s="1"/>
  <c r="G40" i="1"/>
  <c r="J40" i="1" s="1"/>
  <c r="F40" i="1"/>
  <c r="E40" i="1"/>
  <c r="D40" i="1"/>
  <c r="C40" i="1"/>
  <c r="B40" i="1"/>
  <c r="H40" i="1" s="1"/>
  <c r="G39" i="1"/>
  <c r="J39" i="1" s="1"/>
  <c r="F39" i="1"/>
  <c r="E39" i="1"/>
  <c r="D39" i="1"/>
  <c r="C39" i="1"/>
  <c r="B39" i="1"/>
  <c r="H39" i="1" s="1"/>
  <c r="G38" i="1"/>
  <c r="J38" i="1" s="1"/>
  <c r="F38" i="1"/>
  <c r="E38" i="1"/>
  <c r="D38" i="1"/>
  <c r="C38" i="1"/>
  <c r="B38" i="1"/>
  <c r="H38" i="1" s="1"/>
  <c r="G37" i="1"/>
  <c r="J37" i="1" s="1"/>
  <c r="F37" i="1"/>
  <c r="E37" i="1"/>
  <c r="D37" i="1"/>
  <c r="C37" i="1"/>
  <c r="B37" i="1"/>
  <c r="H37" i="1" s="1"/>
  <c r="G36" i="1"/>
  <c r="J36" i="1" s="1"/>
  <c r="F36" i="1"/>
  <c r="E36" i="1"/>
  <c r="D36" i="1"/>
  <c r="C36" i="1"/>
  <c r="B36" i="1"/>
  <c r="H36" i="1" s="1"/>
  <c r="G35" i="1"/>
  <c r="J35" i="1" s="1"/>
  <c r="F35" i="1"/>
  <c r="E35" i="1"/>
  <c r="D35" i="1"/>
  <c r="C35" i="1"/>
  <c r="B35" i="1"/>
  <c r="H35" i="1" s="1"/>
  <c r="G34" i="1"/>
  <c r="J34" i="1" s="1"/>
  <c r="F34" i="1"/>
  <c r="E34" i="1"/>
  <c r="D34" i="1"/>
  <c r="C34" i="1"/>
  <c r="B34" i="1"/>
  <c r="H34" i="1" s="1"/>
  <c r="G33" i="1"/>
  <c r="J33" i="1" s="1"/>
  <c r="F33" i="1"/>
  <c r="E33" i="1"/>
  <c r="D33" i="1"/>
  <c r="C33" i="1"/>
  <c r="B33" i="1"/>
  <c r="H33" i="1" s="1"/>
  <c r="G32" i="1"/>
  <c r="J32" i="1" s="1"/>
  <c r="F32" i="1"/>
  <c r="E32" i="1"/>
  <c r="D32" i="1"/>
  <c r="C32" i="1"/>
  <c r="B32" i="1"/>
  <c r="H32" i="1" s="1"/>
  <c r="G31" i="1"/>
  <c r="J31" i="1" s="1"/>
  <c r="F31" i="1"/>
  <c r="E31" i="1"/>
  <c r="D31" i="1"/>
  <c r="C31" i="1"/>
  <c r="B31" i="1"/>
  <c r="H31" i="1" s="1"/>
  <c r="G30" i="1"/>
  <c r="J30" i="1" s="1"/>
  <c r="F30" i="1"/>
  <c r="E30" i="1"/>
  <c r="D30" i="1"/>
  <c r="C30" i="1"/>
  <c r="B30" i="1"/>
  <c r="H30" i="1" s="1"/>
  <c r="G29" i="1"/>
  <c r="J29" i="1" s="1"/>
  <c r="F29" i="1"/>
  <c r="E29" i="1"/>
  <c r="D29" i="1"/>
  <c r="C29" i="1"/>
  <c r="B29" i="1"/>
  <c r="H29" i="1" s="1"/>
  <c r="G28" i="1"/>
  <c r="J28" i="1" s="1"/>
  <c r="F28" i="1"/>
  <c r="E28" i="1"/>
  <c r="D28" i="1"/>
  <c r="C28" i="1"/>
  <c r="B28" i="1"/>
  <c r="H28" i="1" s="1"/>
  <c r="G27" i="1"/>
  <c r="J27" i="1" s="1"/>
  <c r="F27" i="1"/>
  <c r="E27" i="1"/>
  <c r="D27" i="1"/>
  <c r="C27" i="1"/>
  <c r="B27" i="1"/>
  <c r="H27" i="1" s="1"/>
  <c r="G26" i="1"/>
  <c r="J26" i="1" s="1"/>
  <c r="F26" i="1"/>
  <c r="E26" i="1"/>
  <c r="D26" i="1"/>
  <c r="C26" i="1"/>
  <c r="B26" i="1"/>
  <c r="H26" i="1" s="1"/>
  <c r="G25" i="1"/>
  <c r="J25" i="1" s="1"/>
  <c r="F25" i="1"/>
  <c r="E25" i="1"/>
  <c r="D25" i="1"/>
  <c r="C25" i="1"/>
  <c r="B25" i="1"/>
  <c r="H25" i="1" s="1"/>
  <c r="G24" i="1"/>
  <c r="J24" i="1" s="1"/>
  <c r="F24" i="1"/>
  <c r="E24" i="1"/>
  <c r="D24" i="1"/>
  <c r="C24" i="1"/>
  <c r="B24" i="1"/>
  <c r="H24" i="1" s="1"/>
  <c r="G23" i="1"/>
  <c r="J23" i="1" s="1"/>
  <c r="F23" i="1"/>
  <c r="E23" i="1"/>
  <c r="D23" i="1"/>
  <c r="B23" i="1"/>
  <c r="G22" i="1"/>
  <c r="J22" i="1" s="1"/>
  <c r="F22" i="1"/>
  <c r="E22" i="1"/>
  <c r="D22" i="1"/>
  <c r="C22" i="1"/>
  <c r="B22" i="1"/>
  <c r="H22" i="1" s="1"/>
  <c r="G21" i="1"/>
  <c r="J21" i="1" s="1"/>
  <c r="F21" i="1"/>
  <c r="E21" i="1"/>
  <c r="D21" i="1"/>
  <c r="C21" i="1"/>
  <c r="B21" i="1"/>
  <c r="H21" i="1" s="1"/>
  <c r="G20" i="1"/>
  <c r="J20" i="1" s="1"/>
  <c r="F20" i="1"/>
  <c r="E20" i="1"/>
  <c r="D20" i="1"/>
  <c r="C20" i="1"/>
  <c r="B20" i="1"/>
  <c r="H20" i="1" s="1"/>
  <c r="F19" i="1"/>
  <c r="E19" i="1"/>
  <c r="D19" i="1"/>
  <c r="C19" i="1"/>
  <c r="B19" i="1"/>
  <c r="H19" i="1" s="1"/>
  <c r="G18" i="1"/>
  <c r="J18" i="1" s="1"/>
  <c r="F18" i="1"/>
  <c r="E18" i="1"/>
  <c r="D18" i="1"/>
  <c r="C18" i="1"/>
  <c r="B18" i="1"/>
  <c r="H18" i="1" s="1"/>
  <c r="G17" i="1"/>
  <c r="J17" i="1" s="1"/>
  <c r="F17" i="1"/>
  <c r="D17" i="1"/>
  <c r="C17" i="1"/>
  <c r="B17" i="1"/>
  <c r="H17" i="1" s="1"/>
  <c r="G16" i="1"/>
  <c r="J16" i="1" s="1"/>
  <c r="F16" i="1"/>
  <c r="E16" i="1"/>
  <c r="C16" i="1"/>
  <c r="B16" i="1"/>
  <c r="H16" i="1" s="1"/>
  <c r="G15" i="1"/>
  <c r="J15" i="1" s="1"/>
  <c r="F15" i="1"/>
  <c r="E15" i="1"/>
  <c r="D15" i="1"/>
  <c r="B15" i="1"/>
  <c r="G14" i="1"/>
  <c r="J14" i="1" s="1"/>
  <c r="F14" i="1"/>
  <c r="E14" i="1"/>
  <c r="D14" i="1"/>
  <c r="C14" i="1"/>
  <c r="B14" i="1"/>
  <c r="H14" i="1" s="1"/>
  <c r="G13" i="1"/>
  <c r="J13" i="1" s="1"/>
  <c r="F13" i="1"/>
  <c r="E13" i="1"/>
  <c r="D13" i="1"/>
  <c r="C13" i="1"/>
  <c r="B13" i="1"/>
  <c r="H13" i="1" s="1"/>
  <c r="G12" i="1"/>
  <c r="J12" i="1" s="1"/>
  <c r="F12" i="1"/>
  <c r="E12" i="1"/>
  <c r="D12" i="1"/>
  <c r="C12" i="1"/>
  <c r="B12" i="1"/>
  <c r="H12" i="1" s="1"/>
  <c r="F11" i="1"/>
  <c r="E11" i="1"/>
  <c r="D11" i="1"/>
  <c r="C11" i="1"/>
  <c r="B11" i="1"/>
  <c r="K9" i="1"/>
  <c r="K7" i="1"/>
  <c r="J6" i="1"/>
  <c r="J459" i="1" l="1"/>
  <c r="C15" i="1"/>
  <c r="H15" i="1" s="1"/>
  <c r="C23" i="1"/>
  <c r="H23" i="1" s="1"/>
  <c r="H71" i="3"/>
  <c r="D16" i="1"/>
  <c r="E171" i="5"/>
  <c r="E179" i="3"/>
  <c r="E172" i="5"/>
  <c r="E180" i="3"/>
  <c r="D173" i="5"/>
  <c r="D181" i="3"/>
  <c r="D174" i="5"/>
  <c r="D182" i="3"/>
  <c r="D175" i="5"/>
  <c r="D183" i="3"/>
  <c r="D176" i="5"/>
  <c r="D184" i="3"/>
  <c r="D177" i="5"/>
  <c r="D185" i="3"/>
  <c r="D178" i="5"/>
  <c r="D186" i="3"/>
  <c r="D179" i="5"/>
  <c r="D187" i="3"/>
  <c r="D180" i="5"/>
  <c r="D188" i="3"/>
  <c r="D181" i="5"/>
  <c r="D189" i="3"/>
  <c r="D183" i="5"/>
  <c r="D191" i="3"/>
  <c r="D184" i="5"/>
  <c r="D192" i="3"/>
  <c r="D185" i="5"/>
  <c r="D193" i="3"/>
  <c r="D186" i="5"/>
  <c r="D194" i="3"/>
  <c r="D187" i="5"/>
  <c r="D195" i="3"/>
  <c r="D188" i="5"/>
  <c r="D196" i="3"/>
  <c r="D189" i="5"/>
  <c r="D197" i="3"/>
  <c r="D190" i="5"/>
  <c r="D198" i="3"/>
  <c r="D199" i="3"/>
  <c r="D191" i="5"/>
  <c r="D192" i="5"/>
  <c r="D200" i="3"/>
  <c r="D193" i="5"/>
  <c r="D201" i="3"/>
  <c r="D194" i="5"/>
  <c r="D202" i="3"/>
  <c r="D195" i="5"/>
  <c r="D203" i="3"/>
  <c r="D196" i="5"/>
  <c r="D204" i="3"/>
  <c r="D197" i="5"/>
  <c r="D205" i="3"/>
  <c r="D198" i="5"/>
  <c r="D206" i="3"/>
  <c r="D199" i="5"/>
  <c r="D207" i="3"/>
  <c r="D200" i="5"/>
  <c r="D208" i="3"/>
  <c r="D201" i="5"/>
  <c r="D209" i="3"/>
  <c r="D202" i="5"/>
  <c r="D210" i="3"/>
  <c r="D203" i="5"/>
  <c r="D211" i="3"/>
  <c r="D204" i="5"/>
  <c r="D212" i="3"/>
  <c r="D205" i="5"/>
  <c r="D213" i="3"/>
  <c r="D206" i="5"/>
  <c r="D214" i="3"/>
  <c r="D207" i="5"/>
  <c r="D215" i="3"/>
  <c r="D208" i="5"/>
  <c r="D216" i="3"/>
  <c r="D209" i="5"/>
  <c r="D217" i="3"/>
  <c r="D210" i="5"/>
  <c r="D218" i="3"/>
  <c r="D211" i="5"/>
  <c r="D219" i="3"/>
  <c r="D212" i="5"/>
  <c r="D220" i="3"/>
  <c r="D213" i="5"/>
  <c r="D221" i="3"/>
  <c r="D214" i="5"/>
  <c r="D222" i="3"/>
  <c r="D215" i="5"/>
  <c r="D223" i="3"/>
  <c r="D216" i="5"/>
  <c r="D224" i="3"/>
  <c r="D217" i="5"/>
  <c r="D225" i="3"/>
  <c r="D218" i="5"/>
  <c r="D226" i="3"/>
  <c r="D219" i="5"/>
  <c r="D227" i="3"/>
  <c r="D220" i="5"/>
  <c r="D228" i="3"/>
  <c r="D221" i="5"/>
  <c r="D229" i="3"/>
  <c r="D222" i="5"/>
  <c r="D230" i="3"/>
  <c r="D231" i="3"/>
  <c r="D223" i="5"/>
  <c r="D224" i="5"/>
  <c r="D232" i="3"/>
  <c r="D225" i="5"/>
  <c r="D233" i="3"/>
  <c r="D226" i="5"/>
  <c r="D234" i="3"/>
  <c r="D227" i="5"/>
  <c r="D235" i="3"/>
  <c r="D228" i="5"/>
  <c r="D236" i="3"/>
  <c r="D229" i="5"/>
  <c r="D237" i="3"/>
  <c r="D230" i="5"/>
  <c r="D238" i="3"/>
  <c r="D231" i="5"/>
  <c r="D239" i="3"/>
  <c r="D233" i="5"/>
  <c r="D241" i="3"/>
  <c r="D234" i="5"/>
  <c r="D242" i="3"/>
  <c r="D235" i="5"/>
  <c r="D243" i="3"/>
  <c r="D236" i="5"/>
  <c r="D244" i="3"/>
  <c r="D237" i="5"/>
  <c r="D245" i="3"/>
  <c r="D238" i="5"/>
  <c r="D246" i="3"/>
  <c r="D247" i="3"/>
  <c r="D239" i="5"/>
  <c r="D240" i="5"/>
  <c r="D248" i="3"/>
  <c r="D241" i="5"/>
  <c r="D249" i="3"/>
  <c r="D242" i="5"/>
  <c r="D250" i="3"/>
  <c r="D243" i="5"/>
  <c r="D251" i="3"/>
  <c r="D244" i="5"/>
  <c r="D252" i="3"/>
  <c r="D245" i="5"/>
  <c r="D253" i="3"/>
  <c r="D246" i="5"/>
  <c r="D254" i="3"/>
  <c r="D247" i="5"/>
  <c r="D255" i="3"/>
  <c r="D248" i="5"/>
  <c r="D256" i="3"/>
  <c r="D249" i="5"/>
  <c r="D257" i="3"/>
  <c r="D250" i="5"/>
  <c r="D258" i="3"/>
  <c r="D251" i="5"/>
  <c r="D259" i="3"/>
  <c r="D252" i="5"/>
  <c r="D260" i="3"/>
  <c r="D253" i="5"/>
  <c r="D261" i="3"/>
  <c r="D254" i="5"/>
  <c r="D262" i="3"/>
  <c r="D255" i="5"/>
  <c r="D263" i="3"/>
  <c r="D266" i="1"/>
  <c r="D256" i="5"/>
  <c r="D264" i="3"/>
  <c r="D267" i="1"/>
  <c r="D257" i="5"/>
  <c r="D265" i="3"/>
  <c r="D258" i="5"/>
  <c r="D266" i="3"/>
  <c r="D259" i="5"/>
  <c r="D267" i="3"/>
  <c r="D260" i="5"/>
  <c r="D268" i="3"/>
  <c r="D261" i="5"/>
  <c r="D269" i="3"/>
  <c r="D262" i="5"/>
  <c r="D270" i="3"/>
  <c r="D263" i="5"/>
  <c r="D271" i="3"/>
  <c r="D274" i="1"/>
  <c r="D264" i="5"/>
  <c r="D272" i="3"/>
  <c r="D275" i="1"/>
  <c r="D265" i="5"/>
  <c r="D273" i="3"/>
  <c r="D266" i="5"/>
  <c r="D274" i="3"/>
  <c r="D267" i="5"/>
  <c r="D275" i="3"/>
  <c r="D268" i="5"/>
  <c r="D276" i="3"/>
  <c r="D269" i="5"/>
  <c r="D277" i="3"/>
  <c r="D270" i="5"/>
  <c r="D278" i="3"/>
  <c r="D271" i="5"/>
  <c r="D279" i="3"/>
  <c r="D282" i="1"/>
  <c r="D272" i="5"/>
  <c r="D280" i="3"/>
  <c r="D283" i="1"/>
  <c r="D273" i="5"/>
  <c r="D281" i="3"/>
  <c r="D274" i="5"/>
  <c r="D282" i="3"/>
  <c r="D275" i="5"/>
  <c r="D283" i="3"/>
  <c r="D276" i="5"/>
  <c r="D284" i="3"/>
  <c r="D287" i="1"/>
  <c r="D277" i="5"/>
  <c r="D285" i="3"/>
  <c r="D278" i="5"/>
  <c r="D286" i="3"/>
  <c r="D279" i="5"/>
  <c r="D287" i="3"/>
  <c r="D290" i="1"/>
  <c r="D280" i="5"/>
  <c r="D288" i="3"/>
  <c r="D291" i="1"/>
  <c r="D281" i="5"/>
  <c r="D289" i="3"/>
  <c r="D282" i="5"/>
  <c r="D290" i="3"/>
  <c r="D283" i="5"/>
  <c r="D291" i="3"/>
  <c r="D284" i="5"/>
  <c r="D292" i="3"/>
  <c r="D295" i="1"/>
  <c r="D287" i="5"/>
  <c r="D295" i="3"/>
  <c r="D298" i="1"/>
  <c r="D288" i="5"/>
  <c r="D299" i="1"/>
  <c r="D296" i="3"/>
  <c r="D289" i="5"/>
  <c r="D297" i="3"/>
  <c r="D290" i="5"/>
  <c r="D298" i="3"/>
  <c r="D291" i="5"/>
  <c r="D299" i="3"/>
  <c r="D292" i="5"/>
  <c r="D300" i="3"/>
  <c r="D303" i="1"/>
  <c r="D293" i="5"/>
  <c r="D301" i="3"/>
  <c r="D295" i="5"/>
  <c r="D303" i="3"/>
  <c r="D306" i="1"/>
  <c r="D296" i="5"/>
  <c r="D307" i="1"/>
  <c r="D304" i="3"/>
  <c r="D298" i="5"/>
  <c r="D306" i="3"/>
  <c r="D299" i="5"/>
  <c r="D307" i="3"/>
  <c r="D300" i="5"/>
  <c r="D308" i="3"/>
  <c r="D311" i="1"/>
  <c r="D301" i="5"/>
  <c r="D309" i="3"/>
  <c r="D302" i="5"/>
  <c r="D310" i="3"/>
  <c r="D303" i="5"/>
  <c r="D311" i="3"/>
  <c r="D314" i="1"/>
  <c r="D304" i="5"/>
  <c r="D312" i="3"/>
  <c r="D315" i="1"/>
  <c r="D305" i="5"/>
  <c r="D313" i="3"/>
  <c r="D306" i="5"/>
  <c r="D314" i="3"/>
  <c r="D307" i="5"/>
  <c r="D315" i="3"/>
  <c r="D308" i="5"/>
  <c r="D316" i="3"/>
  <c r="D319" i="1"/>
  <c r="D309" i="5"/>
  <c r="D317" i="3"/>
  <c r="D310" i="5"/>
  <c r="D318" i="3"/>
  <c r="D311" i="5"/>
  <c r="D319" i="3"/>
  <c r="D322" i="1"/>
  <c r="D312" i="5"/>
  <c r="D323" i="1"/>
  <c r="D320" i="3"/>
  <c r="D313" i="5"/>
  <c r="D321" i="3"/>
  <c r="D314" i="5"/>
  <c r="D322" i="3"/>
  <c r="D315" i="5"/>
  <c r="D323" i="3"/>
  <c r="D316" i="5"/>
  <c r="D324" i="3"/>
  <c r="D327" i="1"/>
  <c r="D318" i="5"/>
  <c r="D326" i="3"/>
  <c r="D319" i="5"/>
  <c r="D327" i="3"/>
  <c r="D330" i="1"/>
  <c r="D320" i="5"/>
  <c r="D331" i="1"/>
  <c r="D321" i="5"/>
  <c r="D332" i="1"/>
  <c r="D323" i="5"/>
  <c r="D331" i="3"/>
  <c r="H271" i="1"/>
  <c r="H319" i="1"/>
  <c r="H326" i="1"/>
  <c r="H358" i="1"/>
  <c r="H367" i="1"/>
  <c r="H422" i="1"/>
  <c r="H431" i="1"/>
  <c r="E5" i="5"/>
  <c r="F7" i="3"/>
  <c r="F6" i="5"/>
  <c r="G8" i="3"/>
  <c r="J8" i="3" s="1"/>
  <c r="A8" i="5"/>
  <c r="B10" i="3"/>
  <c r="H10" i="3" s="1"/>
  <c r="D12" i="5"/>
  <c r="E14" i="3"/>
  <c r="E13" i="5"/>
  <c r="F15" i="3"/>
  <c r="F14" i="5"/>
  <c r="G16" i="3"/>
  <c r="J16" i="3" s="1"/>
  <c r="A16" i="5"/>
  <c r="B18" i="3"/>
  <c r="H18" i="3" s="1"/>
  <c r="D20" i="5"/>
  <c r="E22" i="3"/>
  <c r="E21" i="5"/>
  <c r="F23" i="3"/>
  <c r="F22" i="5"/>
  <c r="G24" i="3"/>
  <c r="J24" i="3" s="1"/>
  <c r="A24" i="5"/>
  <c r="B26" i="3"/>
  <c r="H26" i="3" s="1"/>
  <c r="D28" i="5"/>
  <c r="E30" i="3"/>
  <c r="E29" i="5"/>
  <c r="F31" i="3"/>
  <c r="F30" i="5"/>
  <c r="G32" i="3"/>
  <c r="J32" i="3" s="1"/>
  <c r="B34" i="5"/>
  <c r="C36" i="3"/>
  <c r="C35" i="5"/>
  <c r="D37" i="3"/>
  <c r="D36" i="5"/>
  <c r="E38" i="3"/>
  <c r="E37" i="5"/>
  <c r="F39" i="3"/>
  <c r="F38" i="5"/>
  <c r="G40" i="3"/>
  <c r="J40" i="3" s="1"/>
  <c r="B42" i="5"/>
  <c r="C44" i="3"/>
  <c r="E44" i="5"/>
  <c r="F46" i="3"/>
  <c r="F45" i="5"/>
  <c r="G47" i="3"/>
  <c r="J47" i="3" s="1"/>
  <c r="A47" i="5"/>
  <c r="B49" i="3"/>
  <c r="B49" i="5"/>
  <c r="C51" i="3"/>
  <c r="C50" i="5"/>
  <c r="D52" i="3"/>
  <c r="E52" i="5"/>
  <c r="F54" i="3"/>
  <c r="F53" i="5"/>
  <c r="G55" i="3"/>
  <c r="J55" i="3" s="1"/>
  <c r="A55" i="5"/>
  <c r="B57" i="3"/>
  <c r="B57" i="5"/>
  <c r="C59" i="3"/>
  <c r="C58" i="5"/>
  <c r="D60" i="3"/>
  <c r="E60" i="5"/>
  <c r="F62" i="3"/>
  <c r="F61" i="5"/>
  <c r="G63" i="3"/>
  <c r="J63" i="3" s="1"/>
  <c r="A63" i="5"/>
  <c r="B65" i="3"/>
  <c r="H65" i="3" s="1"/>
  <c r="B65" i="5"/>
  <c r="C67" i="3"/>
  <c r="C66" i="5"/>
  <c r="D68" i="3"/>
  <c r="E68" i="5"/>
  <c r="F70" i="3"/>
  <c r="F69" i="5"/>
  <c r="G71" i="3"/>
  <c r="J71" i="3" s="1"/>
  <c r="A71" i="5"/>
  <c r="B73" i="3"/>
  <c r="H73" i="3" s="1"/>
  <c r="B73" i="5"/>
  <c r="C75" i="3"/>
  <c r="D75" i="5"/>
  <c r="E77" i="3"/>
  <c r="E76" i="5"/>
  <c r="F78" i="3"/>
  <c r="F77" i="5"/>
  <c r="G79" i="3"/>
  <c r="J79" i="3" s="1"/>
  <c r="A79" i="5"/>
  <c r="B81" i="3"/>
  <c r="B81" i="5"/>
  <c r="C83" i="3"/>
  <c r="D83" i="5"/>
  <c r="E85" i="3"/>
  <c r="E84" i="5"/>
  <c r="F86" i="3"/>
  <c r="F85" i="5"/>
  <c r="G87" i="3"/>
  <c r="J87" i="3" s="1"/>
  <c r="A87" i="5"/>
  <c r="B89" i="3"/>
  <c r="B89" i="5"/>
  <c r="C91" i="3"/>
  <c r="D91" i="5"/>
  <c r="E93" i="3"/>
  <c r="E92" i="5"/>
  <c r="F94" i="3"/>
  <c r="F93" i="5"/>
  <c r="G95" i="3"/>
  <c r="J95" i="3" s="1"/>
  <c r="A95" i="5"/>
  <c r="B97" i="3"/>
  <c r="H97" i="3" s="1"/>
  <c r="B97" i="5"/>
  <c r="C99" i="3"/>
  <c r="D99" i="5"/>
  <c r="E101" i="3"/>
  <c r="E100" i="5"/>
  <c r="F102" i="3"/>
  <c r="F101" i="5"/>
  <c r="G103" i="3"/>
  <c r="J103" i="3" s="1"/>
  <c r="A103" i="5"/>
  <c r="B105" i="3"/>
  <c r="H105" i="3" s="1"/>
  <c r="B105" i="5"/>
  <c r="C107" i="3"/>
  <c r="D107" i="5"/>
  <c r="E109" i="3"/>
  <c r="E108" i="5"/>
  <c r="F110" i="3"/>
  <c r="F109" i="5"/>
  <c r="G111" i="3"/>
  <c r="J111" i="3" s="1"/>
  <c r="A111" i="5"/>
  <c r="B113" i="3"/>
  <c r="B113" i="5"/>
  <c r="C115" i="3"/>
  <c r="D115" i="5"/>
  <c r="E117" i="3"/>
  <c r="E116" i="5"/>
  <c r="F118" i="3"/>
  <c r="F117" i="5"/>
  <c r="G119" i="3"/>
  <c r="J119" i="3" s="1"/>
  <c r="A119" i="5"/>
  <c r="B121" i="3"/>
  <c r="B121" i="5"/>
  <c r="C123" i="3"/>
  <c r="D123" i="5"/>
  <c r="E125" i="3"/>
  <c r="E124" i="5"/>
  <c r="F126" i="3"/>
  <c r="F125" i="5"/>
  <c r="G127" i="3"/>
  <c r="J127" i="3" s="1"/>
  <c r="A127" i="5"/>
  <c r="B129" i="3"/>
  <c r="H129" i="3" s="1"/>
  <c r="B129" i="5"/>
  <c r="C131" i="3"/>
  <c r="D131" i="5"/>
  <c r="E133" i="3"/>
  <c r="E132" i="5"/>
  <c r="F134" i="3"/>
  <c r="F133" i="5"/>
  <c r="G135" i="3"/>
  <c r="J135" i="3" s="1"/>
  <c r="A135" i="5"/>
  <c r="B137" i="3"/>
  <c r="H137" i="3" s="1"/>
  <c r="F137" i="5"/>
  <c r="G139" i="3"/>
  <c r="J139" i="3" s="1"/>
  <c r="F140" i="5"/>
  <c r="G142" i="3"/>
  <c r="J142" i="3" s="1"/>
  <c r="C142" i="5"/>
  <c r="D144" i="3"/>
  <c r="F143" i="5"/>
  <c r="G145" i="3"/>
  <c r="J145" i="3" s="1"/>
  <c r="D145" i="5"/>
  <c r="E147" i="3"/>
  <c r="A147" i="5"/>
  <c r="B149" i="3"/>
  <c r="H149" i="3" s="1"/>
  <c r="E148" i="5"/>
  <c r="F150" i="3"/>
  <c r="C11" i="3"/>
  <c r="C19" i="3"/>
  <c r="C27" i="3"/>
  <c r="B42" i="3"/>
  <c r="E100" i="3"/>
  <c r="D108" i="3"/>
  <c r="D19" i="5"/>
  <c r="E21" i="3"/>
  <c r="E20" i="5"/>
  <c r="F22" i="3"/>
  <c r="F21" i="5"/>
  <c r="G23" i="3"/>
  <c r="J23" i="3" s="1"/>
  <c r="A23" i="5"/>
  <c r="B25" i="3"/>
  <c r="H25" i="3" s="1"/>
  <c r="D27" i="5"/>
  <c r="E29" i="3"/>
  <c r="E28" i="5"/>
  <c r="F30" i="3"/>
  <c r="F29" i="5"/>
  <c r="G31" i="3"/>
  <c r="J31" i="3" s="1"/>
  <c r="A31" i="5"/>
  <c r="B33" i="3"/>
  <c r="B33" i="5"/>
  <c r="C35" i="3"/>
  <c r="C34" i="5"/>
  <c r="D36" i="3"/>
  <c r="D35" i="5"/>
  <c r="E37" i="3"/>
  <c r="E36" i="5"/>
  <c r="F38" i="3"/>
  <c r="F37" i="5"/>
  <c r="G39" i="3"/>
  <c r="J39" i="3" s="1"/>
  <c r="A39" i="5"/>
  <c r="B41" i="3"/>
  <c r="H41" i="3" s="1"/>
  <c r="B41" i="5"/>
  <c r="C43" i="3"/>
  <c r="C42" i="5"/>
  <c r="D44" i="3"/>
  <c r="E43" i="5"/>
  <c r="F45" i="3"/>
  <c r="F44" i="5"/>
  <c r="G46" i="3"/>
  <c r="J46" i="3" s="1"/>
  <c r="A46" i="5"/>
  <c r="B48" i="3"/>
  <c r="B48" i="5"/>
  <c r="C50" i="3"/>
  <c r="C49" i="5"/>
  <c r="D51" i="3"/>
  <c r="D50" i="5"/>
  <c r="E52" i="3"/>
  <c r="E51" i="5"/>
  <c r="F53" i="3"/>
  <c r="F52" i="5"/>
  <c r="G54" i="3"/>
  <c r="J54" i="3" s="1"/>
  <c r="A54" i="5"/>
  <c r="B56" i="3"/>
  <c r="H56" i="3" s="1"/>
  <c r="B56" i="5"/>
  <c r="C58" i="3"/>
  <c r="H58" i="3" s="1"/>
  <c r="C57" i="5"/>
  <c r="D59" i="3"/>
  <c r="D58" i="5"/>
  <c r="E60" i="3"/>
  <c r="E59" i="5"/>
  <c r="F61" i="3"/>
  <c r="F60" i="5"/>
  <c r="G62" i="3"/>
  <c r="J62" i="3" s="1"/>
  <c r="A62" i="5"/>
  <c r="B64" i="3"/>
  <c r="B64" i="5"/>
  <c r="C66" i="3"/>
  <c r="H66" i="3" s="1"/>
  <c r="C65" i="5"/>
  <c r="D67" i="3"/>
  <c r="D66" i="5"/>
  <c r="E68" i="3"/>
  <c r="E67" i="5"/>
  <c r="F69" i="3"/>
  <c r="F68" i="5"/>
  <c r="G70" i="3"/>
  <c r="J70" i="3" s="1"/>
  <c r="A70" i="5"/>
  <c r="B72" i="3"/>
  <c r="H72" i="3" s="1"/>
  <c r="B72" i="5"/>
  <c r="C74" i="3"/>
  <c r="C73" i="5"/>
  <c r="D75" i="3"/>
  <c r="E75" i="5"/>
  <c r="F77" i="3"/>
  <c r="F76" i="5"/>
  <c r="G78" i="3"/>
  <c r="J78" i="3" s="1"/>
  <c r="A78" i="5"/>
  <c r="B80" i="3"/>
  <c r="H80" i="3" s="1"/>
  <c r="B80" i="5"/>
  <c r="C82" i="3"/>
  <c r="C81" i="5"/>
  <c r="D83" i="3"/>
  <c r="E83" i="5"/>
  <c r="F85" i="3"/>
  <c r="F84" i="5"/>
  <c r="G86" i="3"/>
  <c r="J86" i="3" s="1"/>
  <c r="A86" i="5"/>
  <c r="B88" i="3"/>
  <c r="B88" i="5"/>
  <c r="C90" i="3"/>
  <c r="C89" i="5"/>
  <c r="D91" i="3"/>
  <c r="E91" i="5"/>
  <c r="F93" i="3"/>
  <c r="F92" i="5"/>
  <c r="G94" i="3"/>
  <c r="J94" i="3" s="1"/>
  <c r="A94" i="5"/>
  <c r="B96" i="3"/>
  <c r="B96" i="5"/>
  <c r="C98" i="3"/>
  <c r="C97" i="5"/>
  <c r="D99" i="3"/>
  <c r="E99" i="5"/>
  <c r="F101" i="3"/>
  <c r="F100" i="5"/>
  <c r="G102" i="3"/>
  <c r="J102" i="3" s="1"/>
  <c r="A102" i="5"/>
  <c r="B104" i="3"/>
  <c r="H104" i="3" s="1"/>
  <c r="B104" i="5"/>
  <c r="C106" i="3"/>
  <c r="C105" i="5"/>
  <c r="D107" i="3"/>
  <c r="E107" i="5"/>
  <c r="F109" i="3"/>
  <c r="F108" i="5"/>
  <c r="G110" i="3"/>
  <c r="J110" i="3" s="1"/>
  <c r="A110" i="5"/>
  <c r="B112" i="3"/>
  <c r="H112" i="3" s="1"/>
  <c r="B112" i="5"/>
  <c r="C114" i="3"/>
  <c r="C113" i="5"/>
  <c r="D115" i="3"/>
  <c r="E115" i="5"/>
  <c r="F117" i="3"/>
  <c r="F116" i="5"/>
  <c r="G118" i="3"/>
  <c r="J118" i="3" s="1"/>
  <c r="A118" i="5"/>
  <c r="B120" i="3"/>
  <c r="B120" i="5"/>
  <c r="C122" i="3"/>
  <c r="C121" i="5"/>
  <c r="D123" i="3"/>
  <c r="E123" i="5"/>
  <c r="F125" i="3"/>
  <c r="F124" i="5"/>
  <c r="G126" i="3"/>
  <c r="J126" i="3" s="1"/>
  <c r="A126" i="5"/>
  <c r="B128" i="3"/>
  <c r="B128" i="5"/>
  <c r="C130" i="3"/>
  <c r="C129" i="5"/>
  <c r="D131" i="3"/>
  <c r="E131" i="5"/>
  <c r="F133" i="3"/>
  <c r="F132" i="5"/>
  <c r="G134" i="3"/>
  <c r="J134" i="3" s="1"/>
  <c r="A134" i="5"/>
  <c r="B136" i="3"/>
  <c r="H136" i="3" s="1"/>
  <c r="D136" i="5"/>
  <c r="E138" i="3"/>
  <c r="A138" i="5"/>
  <c r="B140" i="3"/>
  <c r="H140" i="3" s="1"/>
  <c r="E139" i="5"/>
  <c r="F141" i="3"/>
  <c r="A141" i="5"/>
  <c r="B143" i="3"/>
  <c r="H143" i="3" s="1"/>
  <c r="A144" i="5"/>
  <c r="B146" i="3"/>
  <c r="H146" i="3" s="1"/>
  <c r="E145" i="5"/>
  <c r="F147" i="3"/>
  <c r="F148" i="5"/>
  <c r="G150" i="3"/>
  <c r="J150" i="3" s="1"/>
  <c r="E61" i="3"/>
  <c r="E108" i="3"/>
  <c r="D116" i="3"/>
  <c r="E144" i="3"/>
  <c r="A7" i="5"/>
  <c r="B9" i="3"/>
  <c r="D11" i="5"/>
  <c r="E13" i="3"/>
  <c r="E12" i="5"/>
  <c r="F14" i="3"/>
  <c r="F13" i="5"/>
  <c r="G15" i="3"/>
  <c r="J15" i="3" s="1"/>
  <c r="A15" i="5"/>
  <c r="B17" i="3"/>
  <c r="G19" i="1"/>
  <c r="J19" i="1" s="1"/>
  <c r="J180" i="1" s="1"/>
  <c r="C8" i="3"/>
  <c r="C12" i="3"/>
  <c r="C16" i="3"/>
  <c r="C20" i="3"/>
  <c r="C24" i="3"/>
  <c r="C28" i="3"/>
  <c r="H50" i="3"/>
  <c r="E116" i="3"/>
  <c r="D124" i="3"/>
  <c r="D190" i="3"/>
  <c r="D302" i="3"/>
  <c r="H382" i="1"/>
  <c r="H391" i="1"/>
  <c r="H446" i="1"/>
  <c r="H455" i="1"/>
  <c r="A5" i="5"/>
  <c r="B7" i="3"/>
  <c r="D9" i="5"/>
  <c r="E11" i="3"/>
  <c r="E10" i="5"/>
  <c r="F12" i="3"/>
  <c r="F11" i="5"/>
  <c r="G13" i="3"/>
  <c r="J13" i="3" s="1"/>
  <c r="A13" i="5"/>
  <c r="B15" i="3"/>
  <c r="H15" i="3" s="1"/>
  <c r="D17" i="5"/>
  <c r="E19" i="3"/>
  <c r="E18" i="5"/>
  <c r="F20" i="3"/>
  <c r="F19" i="5"/>
  <c r="G21" i="3"/>
  <c r="J21" i="3" s="1"/>
  <c r="D12" i="3"/>
  <c r="D20" i="3"/>
  <c r="D28" i="3"/>
  <c r="H38" i="3"/>
  <c r="E124" i="3"/>
  <c r="D132" i="3"/>
  <c r="D138" i="3"/>
  <c r="H34" i="3"/>
  <c r="H287" i="1"/>
  <c r="H294" i="1"/>
  <c r="H335" i="1"/>
  <c r="H390" i="1"/>
  <c r="H399" i="1"/>
  <c r="H454" i="1"/>
  <c r="D8" i="5"/>
  <c r="E10" i="3"/>
  <c r="E9" i="5"/>
  <c r="F11" i="3"/>
  <c r="F10" i="5"/>
  <c r="G12" i="3"/>
  <c r="J12" i="3" s="1"/>
  <c r="A12" i="5"/>
  <c r="B14" i="3"/>
  <c r="H14" i="3" s="1"/>
  <c r="D16" i="5"/>
  <c r="E18" i="3"/>
  <c r="E17" i="5"/>
  <c r="F19" i="3"/>
  <c r="F18" i="5"/>
  <c r="G20" i="3"/>
  <c r="J20" i="3" s="1"/>
  <c r="A20" i="5"/>
  <c r="B22" i="3"/>
  <c r="H22" i="3" s="1"/>
  <c r="D24" i="5"/>
  <c r="E26" i="3"/>
  <c r="E25" i="5"/>
  <c r="F27" i="3"/>
  <c r="F26" i="5"/>
  <c r="G28" i="3"/>
  <c r="J28" i="3" s="1"/>
  <c r="A28" i="5"/>
  <c r="B30" i="3"/>
  <c r="H30" i="3" s="1"/>
  <c r="B30" i="5"/>
  <c r="C32" i="3"/>
  <c r="C31" i="5"/>
  <c r="D33" i="3"/>
  <c r="D32" i="5"/>
  <c r="E34" i="3"/>
  <c r="C9" i="3"/>
  <c r="C17" i="3"/>
  <c r="E69" i="3"/>
  <c r="D76" i="3"/>
  <c r="E132" i="3"/>
  <c r="E141" i="3"/>
  <c r="D293" i="3"/>
  <c r="D294" i="3"/>
  <c r="B32" i="5"/>
  <c r="C34" i="3"/>
  <c r="F36" i="5"/>
  <c r="G38" i="3"/>
  <c r="J38" i="3" s="1"/>
  <c r="B40" i="5"/>
  <c r="C42" i="3"/>
  <c r="F43" i="5"/>
  <c r="G45" i="3"/>
  <c r="J45" i="3" s="1"/>
  <c r="B47" i="5"/>
  <c r="C49" i="3"/>
  <c r="E50" i="5"/>
  <c r="F52" i="3"/>
  <c r="F51" i="5"/>
  <c r="G53" i="3"/>
  <c r="J53" i="3" s="1"/>
  <c r="B55" i="5"/>
  <c r="C57" i="3"/>
  <c r="E58" i="5"/>
  <c r="F60" i="3"/>
  <c r="F59" i="5"/>
  <c r="G61" i="3"/>
  <c r="J61" i="3" s="1"/>
  <c r="B63" i="5"/>
  <c r="C65" i="3"/>
  <c r="E66" i="5"/>
  <c r="F68" i="3"/>
  <c r="F67" i="5"/>
  <c r="G69" i="3"/>
  <c r="J69" i="3" s="1"/>
  <c r="B71" i="5"/>
  <c r="C73" i="3"/>
  <c r="E74" i="5"/>
  <c r="F76" i="3"/>
  <c r="F75" i="5"/>
  <c r="G77" i="3"/>
  <c r="J77" i="3" s="1"/>
  <c r="A77" i="5"/>
  <c r="B79" i="3"/>
  <c r="B79" i="5"/>
  <c r="C81" i="3"/>
  <c r="E82" i="5"/>
  <c r="F84" i="3"/>
  <c r="F83" i="5"/>
  <c r="G85" i="3"/>
  <c r="J85" i="3" s="1"/>
  <c r="A85" i="5"/>
  <c r="B87" i="3"/>
  <c r="B87" i="5"/>
  <c r="C89" i="3"/>
  <c r="E90" i="5"/>
  <c r="F92" i="3"/>
  <c r="F91" i="5"/>
  <c r="G93" i="3"/>
  <c r="J93" i="3" s="1"/>
  <c r="A93" i="5"/>
  <c r="B95" i="3"/>
  <c r="B95" i="5"/>
  <c r="C97" i="3"/>
  <c r="E98" i="5"/>
  <c r="F100" i="3"/>
  <c r="F99" i="5"/>
  <c r="G101" i="3"/>
  <c r="J101" i="3" s="1"/>
  <c r="A101" i="5"/>
  <c r="B103" i="3"/>
  <c r="B103" i="5"/>
  <c r="C105" i="3"/>
  <c r="E106" i="5"/>
  <c r="F108" i="3"/>
  <c r="F107" i="5"/>
  <c r="G109" i="3"/>
  <c r="J109" i="3" s="1"/>
  <c r="A109" i="5"/>
  <c r="B111" i="3"/>
  <c r="B111" i="5"/>
  <c r="C113" i="3"/>
  <c r="E114" i="5"/>
  <c r="F116" i="3"/>
  <c r="F115" i="5"/>
  <c r="G117" i="3"/>
  <c r="J117" i="3" s="1"/>
  <c r="A117" i="5"/>
  <c r="B119" i="3"/>
  <c r="B119" i="5"/>
  <c r="C121" i="3"/>
  <c r="E122" i="5"/>
  <c r="F124" i="3"/>
  <c r="F123" i="5"/>
  <c r="G125" i="3"/>
  <c r="J125" i="3" s="1"/>
  <c r="A125" i="5"/>
  <c r="B127" i="3"/>
  <c r="B127" i="5"/>
  <c r="C129" i="3"/>
  <c r="E130" i="5"/>
  <c r="F132" i="3"/>
  <c r="F131" i="5"/>
  <c r="G133" i="3"/>
  <c r="J133" i="3" s="1"/>
  <c r="A133" i="5"/>
  <c r="B135" i="3"/>
  <c r="B135" i="5"/>
  <c r="C137" i="3"/>
  <c r="E136" i="5"/>
  <c r="F138" i="3"/>
  <c r="F139" i="5"/>
  <c r="G141" i="3"/>
  <c r="J141" i="3" s="1"/>
  <c r="E142" i="5"/>
  <c r="F144" i="3"/>
  <c r="F145" i="5"/>
  <c r="G147" i="3"/>
  <c r="J147" i="3" s="1"/>
  <c r="E8" i="3"/>
  <c r="E9" i="3"/>
  <c r="E12" i="3"/>
  <c r="E15" i="3"/>
  <c r="E16" i="3"/>
  <c r="E17" i="3"/>
  <c r="E20" i="3"/>
  <c r="E23" i="3"/>
  <c r="E24" i="3"/>
  <c r="E25" i="3"/>
  <c r="E27" i="3"/>
  <c r="E28" i="3"/>
  <c r="D34" i="3"/>
  <c r="F35" i="3"/>
  <c r="D38" i="3"/>
  <c r="E42" i="3"/>
  <c r="B44" i="3"/>
  <c r="H44" i="3" s="1"/>
  <c r="D47" i="3"/>
  <c r="E50" i="3"/>
  <c r="B52" i="3"/>
  <c r="D55" i="3"/>
  <c r="E58" i="3"/>
  <c r="B60" i="3"/>
  <c r="H60" i="3" s="1"/>
  <c r="D63" i="3"/>
  <c r="E66" i="3"/>
  <c r="B68" i="3"/>
  <c r="D71" i="3"/>
  <c r="D143" i="3"/>
  <c r="E146" i="3"/>
  <c r="H160" i="3"/>
  <c r="H176" i="3"/>
  <c r="A201" i="3"/>
  <c r="H210" i="3"/>
  <c r="H319" i="3"/>
  <c r="B31" i="5"/>
  <c r="C33" i="3"/>
  <c r="F35" i="5"/>
  <c r="G37" i="3"/>
  <c r="J37" i="3" s="1"/>
  <c r="B39" i="5"/>
  <c r="C41" i="3"/>
  <c r="E42" i="5"/>
  <c r="F44" i="3"/>
  <c r="B46" i="5"/>
  <c r="C48" i="3"/>
  <c r="E49" i="5"/>
  <c r="F51" i="3"/>
  <c r="F50" i="5"/>
  <c r="G52" i="3"/>
  <c r="J52" i="3" s="1"/>
  <c r="B54" i="5"/>
  <c r="C56" i="3"/>
  <c r="E57" i="5"/>
  <c r="F59" i="3"/>
  <c r="F58" i="5"/>
  <c r="G60" i="3"/>
  <c r="J60" i="3" s="1"/>
  <c r="B62" i="5"/>
  <c r="C64" i="3"/>
  <c r="E65" i="5"/>
  <c r="F67" i="3"/>
  <c r="F66" i="5"/>
  <c r="G68" i="3"/>
  <c r="J68" i="3" s="1"/>
  <c r="B70" i="5"/>
  <c r="C72" i="3"/>
  <c r="E73" i="5"/>
  <c r="F75" i="3"/>
  <c r="F74" i="5"/>
  <c r="G76" i="3"/>
  <c r="J76" i="3" s="1"/>
  <c r="A76" i="5"/>
  <c r="B78" i="3"/>
  <c r="B78" i="5"/>
  <c r="C80" i="3"/>
  <c r="E81" i="5"/>
  <c r="F83" i="3"/>
  <c r="F82" i="5"/>
  <c r="G84" i="3"/>
  <c r="J84" i="3" s="1"/>
  <c r="A84" i="5"/>
  <c r="B86" i="3"/>
  <c r="B86" i="5"/>
  <c r="C88" i="3"/>
  <c r="E89" i="5"/>
  <c r="F91" i="3"/>
  <c r="F90" i="5"/>
  <c r="G92" i="3"/>
  <c r="J92" i="3" s="1"/>
  <c r="A92" i="5"/>
  <c r="B94" i="3"/>
  <c r="B94" i="5"/>
  <c r="C96" i="3"/>
  <c r="E97" i="5"/>
  <c r="F99" i="3"/>
  <c r="F98" i="5"/>
  <c r="G100" i="3"/>
  <c r="J100" i="3" s="1"/>
  <c r="A100" i="5"/>
  <c r="B102" i="3"/>
  <c r="B102" i="5"/>
  <c r="C104" i="3"/>
  <c r="E105" i="5"/>
  <c r="F107" i="3"/>
  <c r="F106" i="5"/>
  <c r="G108" i="3"/>
  <c r="J108" i="3" s="1"/>
  <c r="A108" i="5"/>
  <c r="B110" i="3"/>
  <c r="B110" i="5"/>
  <c r="C112" i="3"/>
  <c r="E113" i="5"/>
  <c r="F115" i="3"/>
  <c r="F114" i="5"/>
  <c r="G116" i="3"/>
  <c r="J116" i="3" s="1"/>
  <c r="A116" i="5"/>
  <c r="B118" i="3"/>
  <c r="B118" i="5"/>
  <c r="C120" i="3"/>
  <c r="E121" i="5"/>
  <c r="F123" i="3"/>
  <c r="F122" i="5"/>
  <c r="G124" i="3"/>
  <c r="J124" i="3" s="1"/>
  <c r="A124" i="5"/>
  <c r="B126" i="3"/>
  <c r="B126" i="5"/>
  <c r="C128" i="3"/>
  <c r="E129" i="5"/>
  <c r="F131" i="3"/>
  <c r="F130" i="5"/>
  <c r="G132" i="3"/>
  <c r="J132" i="3" s="1"/>
  <c r="A132" i="5"/>
  <c r="B134" i="3"/>
  <c r="B134" i="5"/>
  <c r="C136" i="3"/>
  <c r="F136" i="5"/>
  <c r="G138" i="3"/>
  <c r="J138" i="3" s="1"/>
  <c r="A140" i="5"/>
  <c r="B142" i="3"/>
  <c r="H142" i="3" s="1"/>
  <c r="F142" i="5"/>
  <c r="G144" i="3"/>
  <c r="J144" i="3" s="1"/>
  <c r="A146" i="5"/>
  <c r="B148" i="3"/>
  <c r="H148" i="3" s="1"/>
  <c r="E147" i="5"/>
  <c r="F149" i="3"/>
  <c r="C7" i="3"/>
  <c r="F8" i="3"/>
  <c r="F9" i="3"/>
  <c r="F10" i="3"/>
  <c r="F13" i="3"/>
  <c r="F16" i="3"/>
  <c r="F17" i="3"/>
  <c r="F18" i="3"/>
  <c r="F21" i="3"/>
  <c r="F24" i="3"/>
  <c r="F25" i="3"/>
  <c r="F26" i="3"/>
  <c r="F28" i="3"/>
  <c r="F29" i="3"/>
  <c r="B37" i="3"/>
  <c r="H37" i="3" s="1"/>
  <c r="E47" i="3"/>
  <c r="E55" i="3"/>
  <c r="E143" i="3"/>
  <c r="D148" i="3"/>
  <c r="F34" i="5"/>
  <c r="G36" i="3"/>
  <c r="J36" i="3" s="1"/>
  <c r="B38" i="5"/>
  <c r="C40" i="3"/>
  <c r="F43" i="3"/>
  <c r="E41" i="5"/>
  <c r="F42" i="5"/>
  <c r="G44" i="3"/>
  <c r="J44" i="3" s="1"/>
  <c r="B45" i="5"/>
  <c r="C47" i="3"/>
  <c r="H47" i="3" s="1"/>
  <c r="E48" i="5"/>
  <c r="F50" i="3"/>
  <c r="F49" i="5"/>
  <c r="G51" i="3"/>
  <c r="J51" i="3" s="1"/>
  <c r="B53" i="5"/>
  <c r="C55" i="3"/>
  <c r="H55" i="3" s="1"/>
  <c r="E56" i="5"/>
  <c r="F58" i="3"/>
  <c r="F57" i="5"/>
  <c r="G59" i="3"/>
  <c r="J59" i="3" s="1"/>
  <c r="B61" i="5"/>
  <c r="C63" i="3"/>
  <c r="H63" i="3" s="1"/>
  <c r="E64" i="5"/>
  <c r="F66" i="3"/>
  <c r="F65" i="5"/>
  <c r="G67" i="3"/>
  <c r="J67" i="3" s="1"/>
  <c r="B69" i="5"/>
  <c r="C71" i="3"/>
  <c r="E72" i="5"/>
  <c r="F74" i="3"/>
  <c r="F73" i="5"/>
  <c r="G75" i="3"/>
  <c r="J75" i="3" s="1"/>
  <c r="A75" i="5"/>
  <c r="B77" i="3"/>
  <c r="B77" i="5"/>
  <c r="C79" i="3"/>
  <c r="E80" i="5"/>
  <c r="F82" i="3"/>
  <c r="F81" i="5"/>
  <c r="G83" i="3"/>
  <c r="J83" i="3" s="1"/>
  <c r="A83" i="5"/>
  <c r="B85" i="3"/>
  <c r="B85" i="5"/>
  <c r="C87" i="3"/>
  <c r="E88" i="5"/>
  <c r="F90" i="3"/>
  <c r="F89" i="5"/>
  <c r="G91" i="3"/>
  <c r="J91" i="3" s="1"/>
  <c r="A91" i="5"/>
  <c r="B93" i="3"/>
  <c r="B93" i="5"/>
  <c r="C95" i="3"/>
  <c r="E96" i="5"/>
  <c r="F98" i="3"/>
  <c r="F97" i="5"/>
  <c r="G99" i="3"/>
  <c r="J99" i="3" s="1"/>
  <c r="A99" i="5"/>
  <c r="B101" i="3"/>
  <c r="B101" i="5"/>
  <c r="C103" i="3"/>
  <c r="E104" i="5"/>
  <c r="F106" i="3"/>
  <c r="F105" i="5"/>
  <c r="G107" i="3"/>
  <c r="J107" i="3" s="1"/>
  <c r="A107" i="5"/>
  <c r="B109" i="3"/>
  <c r="B109" i="5"/>
  <c r="C111" i="3"/>
  <c r="E112" i="5"/>
  <c r="F114" i="3"/>
  <c r="F113" i="5"/>
  <c r="G115" i="3"/>
  <c r="J115" i="3" s="1"/>
  <c r="A115" i="5"/>
  <c r="B117" i="3"/>
  <c r="B117" i="5"/>
  <c r="C119" i="3"/>
  <c r="E120" i="5"/>
  <c r="F122" i="3"/>
  <c r="F121" i="5"/>
  <c r="G123" i="3"/>
  <c r="J123" i="3" s="1"/>
  <c r="A123" i="5"/>
  <c r="B125" i="3"/>
  <c r="B125" i="5"/>
  <c r="C127" i="3"/>
  <c r="E128" i="5"/>
  <c r="F130" i="3"/>
  <c r="F129" i="5"/>
  <c r="G131" i="3"/>
  <c r="J131" i="3" s="1"/>
  <c r="A131" i="5"/>
  <c r="B133" i="3"/>
  <c r="B133" i="5"/>
  <c r="C135" i="3"/>
  <c r="A137" i="5"/>
  <c r="B139" i="3"/>
  <c r="H139" i="3" s="1"/>
  <c r="E138" i="5"/>
  <c r="F140" i="3"/>
  <c r="A143" i="5"/>
  <c r="B145" i="3"/>
  <c r="H145" i="3" s="1"/>
  <c r="E144" i="5"/>
  <c r="F146" i="3"/>
  <c r="F147" i="5"/>
  <c r="G149" i="3"/>
  <c r="J149" i="3" s="1"/>
  <c r="D7" i="3"/>
  <c r="G9" i="3"/>
  <c r="J9" i="3" s="1"/>
  <c r="G10" i="3"/>
  <c r="J10" i="3" s="1"/>
  <c r="G11" i="3"/>
  <c r="J11" i="3" s="1"/>
  <c r="G14" i="3"/>
  <c r="J14" i="3" s="1"/>
  <c r="G17" i="3"/>
  <c r="J17" i="3" s="1"/>
  <c r="G18" i="3"/>
  <c r="J18" i="3" s="1"/>
  <c r="G19" i="3"/>
  <c r="J19" i="3" s="1"/>
  <c r="G22" i="3"/>
  <c r="J22" i="3" s="1"/>
  <c r="G25" i="3"/>
  <c r="J25" i="3" s="1"/>
  <c r="G26" i="3"/>
  <c r="J26" i="3" s="1"/>
  <c r="G27" i="3"/>
  <c r="J27" i="3" s="1"/>
  <c r="G29" i="3"/>
  <c r="J29" i="3" s="1"/>
  <c r="G30" i="3"/>
  <c r="J30" i="3" s="1"/>
  <c r="F34" i="3"/>
  <c r="D41" i="3"/>
  <c r="E44" i="3"/>
  <c r="B46" i="3"/>
  <c r="D49" i="3"/>
  <c r="B54" i="3"/>
  <c r="D57" i="3"/>
  <c r="B62" i="3"/>
  <c r="D65" i="3"/>
  <c r="B70" i="3"/>
  <c r="D73" i="3"/>
  <c r="D77" i="3"/>
  <c r="D81" i="3"/>
  <c r="D85" i="3"/>
  <c r="D89" i="3"/>
  <c r="D93" i="3"/>
  <c r="D97" i="3"/>
  <c r="D101" i="3"/>
  <c r="D105" i="3"/>
  <c r="D109" i="3"/>
  <c r="D113" i="3"/>
  <c r="D117" i="3"/>
  <c r="D121" i="3"/>
  <c r="D125" i="3"/>
  <c r="D129" i="3"/>
  <c r="D133" i="3"/>
  <c r="D137" i="3"/>
  <c r="E140" i="3"/>
  <c r="A173" i="5"/>
  <c r="A181" i="3"/>
  <c r="A174" i="5"/>
  <c r="A182" i="3"/>
  <c r="A175" i="5"/>
  <c r="A183" i="3"/>
  <c r="A176" i="5"/>
  <c r="A184" i="3"/>
  <c r="A177" i="5"/>
  <c r="A185" i="3"/>
  <c r="A178" i="5"/>
  <c r="A186" i="3"/>
  <c r="A179" i="5"/>
  <c r="A187" i="3"/>
  <c r="A182" i="5"/>
  <c r="A190" i="3"/>
  <c r="A183" i="5"/>
  <c r="A191" i="3"/>
  <c r="A184" i="5"/>
  <c r="A192" i="3"/>
  <c r="A185" i="5"/>
  <c r="A193" i="3"/>
  <c r="A188" i="5"/>
  <c r="A196" i="3"/>
  <c r="A189" i="5"/>
  <c r="A197" i="3"/>
  <c r="A191" i="5"/>
  <c r="A199" i="3"/>
  <c r="A192" i="5"/>
  <c r="A200" i="3"/>
  <c r="A195" i="5"/>
  <c r="A203" i="3"/>
  <c r="A196" i="5"/>
  <c r="A204" i="3"/>
  <c r="A197" i="5"/>
  <c r="A205" i="3"/>
  <c r="A198" i="5"/>
  <c r="A206" i="3"/>
  <c r="A199" i="5"/>
  <c r="A207" i="3"/>
  <c r="A200" i="5"/>
  <c r="A208" i="3"/>
  <c r="A201" i="5"/>
  <c r="A209" i="3"/>
  <c r="A202" i="5"/>
  <c r="A210" i="3"/>
  <c r="A203" i="5"/>
  <c r="A211" i="3"/>
  <c r="A204" i="5"/>
  <c r="A212" i="3"/>
  <c r="A207" i="5"/>
  <c r="A215" i="3"/>
  <c r="A208" i="5"/>
  <c r="A216" i="3"/>
  <c r="A209" i="5"/>
  <c r="A217" i="3"/>
  <c r="A212" i="5"/>
  <c r="A220" i="3"/>
  <c r="A213" i="5"/>
  <c r="A221" i="3"/>
  <c r="A214" i="5"/>
  <c r="A222" i="3"/>
  <c r="A215" i="5"/>
  <c r="A223" i="3"/>
  <c r="A216" i="5"/>
  <c r="A224" i="3"/>
  <c r="A217" i="5"/>
  <c r="A225" i="3"/>
  <c r="A218" i="5"/>
  <c r="A226" i="3"/>
  <c r="A219" i="5"/>
  <c r="A227" i="3"/>
  <c r="A220" i="5"/>
  <c r="A228" i="3"/>
  <c r="A221" i="5"/>
  <c r="A229" i="3"/>
  <c r="A222" i="5"/>
  <c r="A230" i="3"/>
  <c r="A223" i="5"/>
  <c r="A231" i="3"/>
  <c r="A224" i="5"/>
  <c r="A232" i="3"/>
  <c r="A225" i="5"/>
  <c r="A233" i="3"/>
  <c r="A229" i="5"/>
  <c r="A237" i="3"/>
  <c r="A230" i="5"/>
  <c r="A238" i="3"/>
  <c r="A231" i="5"/>
  <c r="A239" i="3"/>
  <c r="A232" i="5"/>
  <c r="A240" i="3"/>
  <c r="A233" i="5"/>
  <c r="A241" i="3"/>
  <c r="A236" i="5"/>
  <c r="A244" i="3"/>
  <c r="A237" i="5"/>
  <c r="A245" i="3"/>
  <c r="B29" i="5"/>
  <c r="C31" i="3"/>
  <c r="F33" i="5"/>
  <c r="G35" i="3"/>
  <c r="J35" i="3" s="1"/>
  <c r="B37" i="5"/>
  <c r="C39" i="3"/>
  <c r="E40" i="5"/>
  <c r="F42" i="3"/>
  <c r="G43" i="3"/>
  <c r="J43" i="3" s="1"/>
  <c r="F41" i="5"/>
  <c r="B44" i="5"/>
  <c r="C46" i="3"/>
  <c r="E47" i="5"/>
  <c r="F49" i="3"/>
  <c r="F48" i="5"/>
  <c r="G50" i="3"/>
  <c r="J50" i="3" s="1"/>
  <c r="B52" i="5"/>
  <c r="C54" i="3"/>
  <c r="E55" i="5"/>
  <c r="F57" i="3"/>
  <c r="F56" i="5"/>
  <c r="G58" i="3"/>
  <c r="J58" i="3" s="1"/>
  <c r="B60" i="5"/>
  <c r="C62" i="3"/>
  <c r="E63" i="5"/>
  <c r="F65" i="3"/>
  <c r="F64" i="5"/>
  <c r="G66" i="3"/>
  <c r="J66" i="3" s="1"/>
  <c r="B68" i="5"/>
  <c r="C70" i="3"/>
  <c r="E71" i="5"/>
  <c r="F73" i="3"/>
  <c r="F72" i="5"/>
  <c r="G74" i="3"/>
  <c r="J74" i="3" s="1"/>
  <c r="A74" i="5"/>
  <c r="B76" i="3"/>
  <c r="B76" i="5"/>
  <c r="C78" i="3"/>
  <c r="E79" i="5"/>
  <c r="F81" i="3"/>
  <c r="F80" i="5"/>
  <c r="G82" i="3"/>
  <c r="J82" i="3" s="1"/>
  <c r="A82" i="5"/>
  <c r="B84" i="3"/>
  <c r="B84" i="5"/>
  <c r="C86" i="3"/>
  <c r="E87" i="5"/>
  <c r="F89" i="3"/>
  <c r="F88" i="5"/>
  <c r="G90" i="3"/>
  <c r="J90" i="3" s="1"/>
  <c r="A90" i="5"/>
  <c r="B92" i="3"/>
  <c r="B92" i="5"/>
  <c r="C94" i="3"/>
  <c r="E95" i="5"/>
  <c r="F97" i="3"/>
  <c r="F96" i="5"/>
  <c r="G98" i="3"/>
  <c r="J98" i="3" s="1"/>
  <c r="A98" i="5"/>
  <c r="B100" i="3"/>
  <c r="B100" i="5"/>
  <c r="C102" i="3"/>
  <c r="E103" i="5"/>
  <c r="F105" i="3"/>
  <c r="F104" i="5"/>
  <c r="G106" i="3"/>
  <c r="J106" i="3" s="1"/>
  <c r="A106" i="5"/>
  <c r="B108" i="3"/>
  <c r="B108" i="5"/>
  <c r="C110" i="3"/>
  <c r="E111" i="5"/>
  <c r="F113" i="3"/>
  <c r="F112" i="5"/>
  <c r="G114" i="3"/>
  <c r="J114" i="3" s="1"/>
  <c r="A114" i="5"/>
  <c r="B116" i="3"/>
  <c r="B116" i="5"/>
  <c r="C118" i="3"/>
  <c r="E119" i="5"/>
  <c r="F121" i="3"/>
  <c r="F120" i="5"/>
  <c r="G122" i="3"/>
  <c r="J122" i="3" s="1"/>
  <c r="A122" i="5"/>
  <c r="B124" i="3"/>
  <c r="B124" i="5"/>
  <c r="C126" i="3"/>
  <c r="E127" i="5"/>
  <c r="F129" i="3"/>
  <c r="F128" i="5"/>
  <c r="G130" i="3"/>
  <c r="J130" i="3" s="1"/>
  <c r="A130" i="5"/>
  <c r="B132" i="3"/>
  <c r="B132" i="5"/>
  <c r="C134" i="3"/>
  <c r="E135" i="5"/>
  <c r="F137" i="3"/>
  <c r="F138" i="5"/>
  <c r="G140" i="3"/>
  <c r="J140" i="3" s="1"/>
  <c r="E141" i="5"/>
  <c r="F143" i="3"/>
  <c r="F144" i="5"/>
  <c r="G146" i="3"/>
  <c r="J146" i="3" s="1"/>
  <c r="A148" i="5"/>
  <c r="B150" i="3"/>
  <c r="H150" i="3" s="1"/>
  <c r="E7" i="3"/>
  <c r="B32" i="3"/>
  <c r="E33" i="3"/>
  <c r="B36" i="3"/>
  <c r="H36" i="3" s="1"/>
  <c r="B40" i="3"/>
  <c r="H40" i="3" s="1"/>
  <c r="E41" i="3"/>
  <c r="B43" i="3"/>
  <c r="H43" i="3" s="1"/>
  <c r="D46" i="3"/>
  <c r="E49" i="3"/>
  <c r="B51" i="3"/>
  <c r="H51" i="3" s="1"/>
  <c r="D54" i="3"/>
  <c r="E57" i="3"/>
  <c r="B59" i="3"/>
  <c r="D62" i="3"/>
  <c r="E65" i="3"/>
  <c r="B67" i="3"/>
  <c r="H67" i="3" s="1"/>
  <c r="D70" i="3"/>
  <c r="E73" i="3"/>
  <c r="E75" i="3"/>
  <c r="E79" i="3"/>
  <c r="E81" i="3"/>
  <c r="E83" i="3"/>
  <c r="E87" i="3"/>
  <c r="E89" i="3"/>
  <c r="E91" i="3"/>
  <c r="E95" i="3"/>
  <c r="E97" i="3"/>
  <c r="E99" i="3"/>
  <c r="E103" i="3"/>
  <c r="E105" i="3"/>
  <c r="E107" i="3"/>
  <c r="E111" i="3"/>
  <c r="E113" i="3"/>
  <c r="E115" i="3"/>
  <c r="E119" i="3"/>
  <c r="E121" i="3"/>
  <c r="E123" i="3"/>
  <c r="E127" i="3"/>
  <c r="E129" i="3"/>
  <c r="E131" i="3"/>
  <c r="E135" i="3"/>
  <c r="E137" i="3"/>
  <c r="D142" i="3"/>
  <c r="E145" i="3"/>
  <c r="D150" i="3"/>
  <c r="F32" i="5"/>
  <c r="G34" i="3"/>
  <c r="J34" i="3" s="1"/>
  <c r="B36" i="5"/>
  <c r="C38" i="3"/>
  <c r="E39" i="5"/>
  <c r="F41" i="3"/>
  <c r="F40" i="5"/>
  <c r="G42" i="3"/>
  <c r="J42" i="3" s="1"/>
  <c r="B43" i="5"/>
  <c r="C45" i="3"/>
  <c r="E46" i="5"/>
  <c r="F48" i="3"/>
  <c r="F47" i="5"/>
  <c r="G49" i="3"/>
  <c r="J49" i="3" s="1"/>
  <c r="B51" i="5"/>
  <c r="C53" i="3"/>
  <c r="E54" i="5"/>
  <c r="F56" i="3"/>
  <c r="F55" i="5"/>
  <c r="G57" i="3"/>
  <c r="J57" i="3" s="1"/>
  <c r="B59" i="5"/>
  <c r="C61" i="3"/>
  <c r="E62" i="5"/>
  <c r="F64" i="3"/>
  <c r="F63" i="5"/>
  <c r="G65" i="3"/>
  <c r="J65" i="3" s="1"/>
  <c r="B67" i="5"/>
  <c r="C69" i="3"/>
  <c r="E70" i="5"/>
  <c r="F72" i="3"/>
  <c r="F71" i="5"/>
  <c r="G73" i="3"/>
  <c r="J73" i="3" s="1"/>
  <c r="A73" i="5"/>
  <c r="B75" i="3"/>
  <c r="H75" i="3" s="1"/>
  <c r="B75" i="5"/>
  <c r="C77" i="3"/>
  <c r="E78" i="5"/>
  <c r="F80" i="3"/>
  <c r="F79" i="5"/>
  <c r="G81" i="3"/>
  <c r="J81" i="3" s="1"/>
  <c r="A81" i="5"/>
  <c r="B83" i="3"/>
  <c r="H83" i="3" s="1"/>
  <c r="B83" i="5"/>
  <c r="C85" i="3"/>
  <c r="E86" i="5"/>
  <c r="F88" i="3"/>
  <c r="F87" i="5"/>
  <c r="G89" i="3"/>
  <c r="J89" i="3" s="1"/>
  <c r="A89" i="5"/>
  <c r="B91" i="3"/>
  <c r="H91" i="3" s="1"/>
  <c r="B91" i="5"/>
  <c r="C93" i="3"/>
  <c r="E94" i="5"/>
  <c r="F96" i="3"/>
  <c r="F95" i="5"/>
  <c r="G97" i="3"/>
  <c r="J97" i="3" s="1"/>
  <c r="A97" i="5"/>
  <c r="B99" i="3"/>
  <c r="H99" i="3" s="1"/>
  <c r="B99" i="5"/>
  <c r="C101" i="3"/>
  <c r="E102" i="5"/>
  <c r="F104" i="3"/>
  <c r="F103" i="5"/>
  <c r="G105" i="3"/>
  <c r="J105" i="3" s="1"/>
  <c r="A105" i="5"/>
  <c r="B107" i="3"/>
  <c r="H107" i="3" s="1"/>
  <c r="B107" i="5"/>
  <c r="C109" i="3"/>
  <c r="E110" i="5"/>
  <c r="F112" i="3"/>
  <c r="F111" i="5"/>
  <c r="G113" i="3"/>
  <c r="J113" i="3" s="1"/>
  <c r="A113" i="5"/>
  <c r="B115" i="3"/>
  <c r="H115" i="3" s="1"/>
  <c r="B115" i="5"/>
  <c r="C117" i="3"/>
  <c r="E118" i="5"/>
  <c r="F120" i="3"/>
  <c r="F119" i="5"/>
  <c r="G121" i="3"/>
  <c r="J121" i="3" s="1"/>
  <c r="A121" i="5"/>
  <c r="B123" i="3"/>
  <c r="H123" i="3" s="1"/>
  <c r="B123" i="5"/>
  <c r="C125" i="3"/>
  <c r="E126" i="5"/>
  <c r="F128" i="3"/>
  <c r="F127" i="5"/>
  <c r="G129" i="3"/>
  <c r="J129" i="3" s="1"/>
  <c r="A129" i="5"/>
  <c r="B131" i="3"/>
  <c r="H131" i="3" s="1"/>
  <c r="B131" i="5"/>
  <c r="C133" i="3"/>
  <c r="E134" i="5"/>
  <c r="F136" i="3"/>
  <c r="F135" i="5"/>
  <c r="G137" i="3"/>
  <c r="J137" i="3" s="1"/>
  <c r="A139" i="5"/>
  <c r="B141" i="3"/>
  <c r="H141" i="3" s="1"/>
  <c r="F141" i="5"/>
  <c r="G143" i="3"/>
  <c r="J143" i="3" s="1"/>
  <c r="A145" i="5"/>
  <c r="B147" i="3"/>
  <c r="H147" i="3" s="1"/>
  <c r="E146" i="5"/>
  <c r="F148" i="3"/>
  <c r="D32" i="3"/>
  <c r="F33" i="3"/>
  <c r="F37" i="3"/>
  <c r="D40" i="3"/>
  <c r="D43" i="3"/>
  <c r="E46" i="3"/>
  <c r="E54" i="3"/>
  <c r="E62" i="3"/>
  <c r="E70" i="3"/>
  <c r="D139" i="3"/>
  <c r="E142" i="3"/>
  <c r="D147" i="3"/>
  <c r="E150" i="3"/>
  <c r="H152" i="3"/>
  <c r="H168" i="3"/>
  <c r="A188" i="3"/>
  <c r="A194" i="3"/>
  <c r="H366" i="3"/>
  <c r="F31" i="5"/>
  <c r="G33" i="3"/>
  <c r="J33" i="3" s="1"/>
  <c r="B35" i="5"/>
  <c r="C37" i="3"/>
  <c r="F39" i="5"/>
  <c r="G41" i="3"/>
  <c r="J41" i="3" s="1"/>
  <c r="E45" i="5"/>
  <c r="F47" i="3"/>
  <c r="F46" i="5"/>
  <c r="G48" i="3"/>
  <c r="J48" i="3" s="1"/>
  <c r="B50" i="5"/>
  <c r="C52" i="3"/>
  <c r="E53" i="5"/>
  <c r="F55" i="3"/>
  <c r="F54" i="5"/>
  <c r="G56" i="3"/>
  <c r="J56" i="3" s="1"/>
  <c r="B58" i="5"/>
  <c r="C60" i="3"/>
  <c r="E61" i="5"/>
  <c r="F63" i="3"/>
  <c r="F62" i="5"/>
  <c r="G64" i="3"/>
  <c r="J64" i="3" s="1"/>
  <c r="B66" i="5"/>
  <c r="C68" i="3"/>
  <c r="E69" i="5"/>
  <c r="F71" i="3"/>
  <c r="F70" i="5"/>
  <c r="G72" i="3"/>
  <c r="J72" i="3" s="1"/>
  <c r="A72" i="5"/>
  <c r="B74" i="3"/>
  <c r="B74" i="5"/>
  <c r="C76" i="3"/>
  <c r="E77" i="5"/>
  <c r="F79" i="3"/>
  <c r="F78" i="5"/>
  <c r="G80" i="3"/>
  <c r="J80" i="3" s="1"/>
  <c r="A80" i="5"/>
  <c r="B82" i="3"/>
  <c r="H82" i="3" s="1"/>
  <c r="B82" i="5"/>
  <c r="C84" i="3"/>
  <c r="E85" i="5"/>
  <c r="F87" i="3"/>
  <c r="F86" i="5"/>
  <c r="G88" i="3"/>
  <c r="J88" i="3" s="1"/>
  <c r="A88" i="5"/>
  <c r="B90" i="3"/>
  <c r="H90" i="3" s="1"/>
  <c r="B90" i="5"/>
  <c r="C92" i="3"/>
  <c r="E93" i="5"/>
  <c r="F95" i="3"/>
  <c r="F94" i="5"/>
  <c r="G96" i="3"/>
  <c r="J96" i="3" s="1"/>
  <c r="A96" i="5"/>
  <c r="B98" i="3"/>
  <c r="B98" i="5"/>
  <c r="C100" i="3"/>
  <c r="E101" i="5"/>
  <c r="F103" i="3"/>
  <c r="F102" i="5"/>
  <c r="G104" i="3"/>
  <c r="J104" i="3" s="1"/>
  <c r="A104" i="5"/>
  <c r="B106" i="3"/>
  <c r="B106" i="5"/>
  <c r="C108" i="3"/>
  <c r="E109" i="5"/>
  <c r="F111" i="3"/>
  <c r="F110" i="5"/>
  <c r="G112" i="3"/>
  <c r="J112" i="3" s="1"/>
  <c r="A112" i="5"/>
  <c r="B114" i="3"/>
  <c r="H114" i="3" s="1"/>
  <c r="B114" i="5"/>
  <c r="C116" i="3"/>
  <c r="E117" i="5"/>
  <c r="F119" i="3"/>
  <c r="F118" i="5"/>
  <c r="G120" i="3"/>
  <c r="J120" i="3" s="1"/>
  <c r="A120" i="5"/>
  <c r="B122" i="3"/>
  <c r="H122" i="3" s="1"/>
  <c r="B122" i="5"/>
  <c r="C124" i="3"/>
  <c r="E125" i="5"/>
  <c r="F127" i="3"/>
  <c r="F126" i="5"/>
  <c r="G128" i="3"/>
  <c r="J128" i="3" s="1"/>
  <c r="A128" i="5"/>
  <c r="B130" i="3"/>
  <c r="B130" i="5"/>
  <c r="C132" i="3"/>
  <c r="E133" i="5"/>
  <c r="F135" i="3"/>
  <c r="F134" i="5"/>
  <c r="G136" i="3"/>
  <c r="J136" i="3" s="1"/>
  <c r="A136" i="5"/>
  <c r="B138" i="3"/>
  <c r="H138" i="3" s="1"/>
  <c r="E137" i="5"/>
  <c r="F139" i="3"/>
  <c r="E140" i="5"/>
  <c r="F142" i="3"/>
  <c r="A142" i="5"/>
  <c r="B144" i="3"/>
  <c r="H144" i="3" s="1"/>
  <c r="E143" i="5"/>
  <c r="F145" i="3"/>
  <c r="F146" i="5"/>
  <c r="G148" i="3"/>
  <c r="J148" i="3" s="1"/>
  <c r="B8" i="3"/>
  <c r="H8" i="3" s="1"/>
  <c r="B11" i="3"/>
  <c r="H11" i="3" s="1"/>
  <c r="B12" i="3"/>
  <c r="B13" i="3"/>
  <c r="H13" i="3" s="1"/>
  <c r="B16" i="3"/>
  <c r="H16" i="3" s="1"/>
  <c r="B19" i="3"/>
  <c r="B20" i="3"/>
  <c r="H20" i="3" s="1"/>
  <c r="B21" i="3"/>
  <c r="H21" i="3" s="1"/>
  <c r="B23" i="3"/>
  <c r="H23" i="3" s="1"/>
  <c r="B24" i="3"/>
  <c r="H24" i="3" s="1"/>
  <c r="B27" i="3"/>
  <c r="H27" i="3" s="1"/>
  <c r="B28" i="3"/>
  <c r="H28" i="3" s="1"/>
  <c r="B29" i="3"/>
  <c r="H29" i="3" s="1"/>
  <c r="B31" i="3"/>
  <c r="H31" i="3" s="1"/>
  <c r="E32" i="3"/>
  <c r="B35" i="3"/>
  <c r="H35" i="3" s="1"/>
  <c r="E36" i="3"/>
  <c r="B39" i="3"/>
  <c r="E40" i="3"/>
  <c r="E43" i="3"/>
  <c r="B45" i="3"/>
  <c r="D48" i="3"/>
  <c r="E51" i="3"/>
  <c r="B53" i="3"/>
  <c r="H53" i="3" s="1"/>
  <c r="D56" i="3"/>
  <c r="E59" i="3"/>
  <c r="B61" i="3"/>
  <c r="H61" i="3" s="1"/>
  <c r="D64" i="3"/>
  <c r="E67" i="3"/>
  <c r="B69" i="3"/>
  <c r="H69" i="3" s="1"/>
  <c r="D72" i="3"/>
  <c r="H188" i="3"/>
  <c r="H194" i="3"/>
  <c r="H196" i="3"/>
  <c r="H199" i="3"/>
  <c r="H315" i="3"/>
  <c r="D171" i="5"/>
  <c r="D179" i="3"/>
  <c r="D172" i="5"/>
  <c r="D180" i="3"/>
  <c r="C173" i="5"/>
  <c r="C181" i="3"/>
  <c r="H181" i="3" s="1"/>
  <c r="C180" i="5"/>
  <c r="C188" i="3"/>
  <c r="C181" i="5"/>
  <c r="C189" i="3"/>
  <c r="H189" i="3" s="1"/>
  <c r="C183" i="5"/>
  <c r="C191" i="3"/>
  <c r="H191" i="3" s="1"/>
  <c r="C184" i="5"/>
  <c r="C192" i="3"/>
  <c r="H192" i="3" s="1"/>
  <c r="C186" i="5"/>
  <c r="C194" i="3"/>
  <c r="C187" i="5"/>
  <c r="C195" i="3"/>
  <c r="H195" i="3" s="1"/>
  <c r="C189" i="5"/>
  <c r="C197" i="3"/>
  <c r="H197" i="3" s="1"/>
  <c r="C190" i="5"/>
  <c r="C198" i="3"/>
  <c r="C193" i="5"/>
  <c r="C201" i="3"/>
  <c r="C194" i="5"/>
  <c r="C202" i="3"/>
  <c r="H202" i="3" s="1"/>
  <c r="H201" i="3"/>
  <c r="A252" i="3"/>
  <c r="A273" i="3"/>
  <c r="A278" i="3"/>
  <c r="A283" i="3"/>
  <c r="A289" i="3"/>
  <c r="H157" i="3"/>
  <c r="H165" i="3"/>
  <c r="H173" i="3"/>
  <c r="H200" i="3"/>
  <c r="A251" i="3"/>
  <c r="A277" i="3"/>
  <c r="H283" i="3"/>
  <c r="H322" i="3"/>
  <c r="H367" i="3"/>
  <c r="H414" i="3"/>
  <c r="H420" i="3"/>
  <c r="H421" i="3"/>
  <c r="H462" i="3"/>
  <c r="A239" i="5"/>
  <c r="A247" i="3"/>
  <c r="A240" i="5"/>
  <c r="A248" i="3"/>
  <c r="A242" i="5"/>
  <c r="A250" i="3"/>
  <c r="A247" i="5"/>
  <c r="A255" i="3"/>
  <c r="A248" i="5"/>
  <c r="A256" i="3"/>
  <c r="A249" i="5"/>
  <c r="A257" i="3"/>
  <c r="A250" i="5"/>
  <c r="A258" i="3"/>
  <c r="A254" i="5"/>
  <c r="A262" i="3"/>
  <c r="A258" i="5"/>
  <c r="A266" i="3"/>
  <c r="A266" i="5"/>
  <c r="A274" i="3"/>
  <c r="A267" i="5"/>
  <c r="A275" i="3"/>
  <c r="A268" i="5"/>
  <c r="A276" i="3"/>
  <c r="A271" i="5"/>
  <c r="A279" i="3"/>
  <c r="A272" i="5"/>
  <c r="A280" i="3"/>
  <c r="A274" i="5"/>
  <c r="A282" i="3"/>
  <c r="A276" i="5"/>
  <c r="A284" i="3"/>
  <c r="A277" i="5"/>
  <c r="A285" i="3"/>
  <c r="A278" i="5"/>
  <c r="A286" i="3"/>
  <c r="A279" i="5"/>
  <c r="A287" i="3"/>
  <c r="A280" i="5"/>
  <c r="A288" i="3"/>
  <c r="A282" i="5"/>
  <c r="A290" i="3"/>
  <c r="A286" i="5"/>
  <c r="A294" i="3"/>
  <c r="A287" i="5"/>
  <c r="A295" i="3"/>
  <c r="A296" i="3"/>
  <c r="A288" i="5"/>
  <c r="A289" i="5"/>
  <c r="A297" i="3"/>
  <c r="A290" i="5"/>
  <c r="A298" i="3"/>
  <c r="A293" i="5"/>
  <c r="A301" i="3"/>
  <c r="A294" i="5"/>
  <c r="A302" i="3"/>
  <c r="A295" i="5"/>
  <c r="A303" i="3"/>
  <c r="A296" i="5"/>
  <c r="A304" i="3"/>
  <c r="A297" i="5"/>
  <c r="A305" i="3"/>
  <c r="A298" i="5"/>
  <c r="A306" i="3"/>
  <c r="A299" i="5"/>
  <c r="A307" i="3"/>
  <c r="A300" i="5"/>
  <c r="A308" i="3"/>
  <c r="A301" i="5"/>
  <c r="A309" i="3"/>
  <c r="A305" i="5"/>
  <c r="A313" i="3"/>
  <c r="A306" i="5"/>
  <c r="A314" i="3"/>
  <c r="A307" i="5"/>
  <c r="A315" i="3"/>
  <c r="A308" i="5"/>
  <c r="A316" i="3"/>
  <c r="A311" i="5"/>
  <c r="A319" i="3"/>
  <c r="A314" i="5"/>
  <c r="A322" i="3"/>
  <c r="A315" i="5"/>
  <c r="A323" i="3"/>
  <c r="A316" i="5"/>
  <c r="A324" i="3"/>
  <c r="A317" i="5"/>
  <c r="A325" i="3"/>
  <c r="A322" i="5"/>
  <c r="A330" i="3"/>
  <c r="A323" i="5"/>
  <c r="A331" i="3"/>
  <c r="A324" i="5"/>
  <c r="A332" i="3"/>
  <c r="A330" i="5"/>
  <c r="A338" i="3"/>
  <c r="A332" i="5"/>
  <c r="A340" i="3"/>
  <c r="A333" i="5"/>
  <c r="A341" i="3"/>
  <c r="A334" i="5"/>
  <c r="A342" i="3"/>
  <c r="A335" i="5"/>
  <c r="A343" i="3"/>
  <c r="A336" i="5"/>
  <c r="A344" i="3"/>
  <c r="A337" i="5"/>
  <c r="A345" i="3"/>
  <c r="A338" i="5"/>
  <c r="A346" i="3"/>
  <c r="A341" i="5"/>
  <c r="A349" i="3"/>
  <c r="A342" i="5"/>
  <c r="A350" i="3"/>
  <c r="A343" i="5"/>
  <c r="A351" i="3"/>
  <c r="A344" i="5"/>
  <c r="A352" i="3"/>
  <c r="A254" i="3"/>
  <c r="A263" i="3"/>
  <c r="A281" i="3"/>
  <c r="A291" i="3"/>
  <c r="A311" i="3"/>
  <c r="H435" i="3"/>
  <c r="H153" i="3"/>
  <c r="H161" i="3"/>
  <c r="H169" i="3"/>
  <c r="A249" i="3"/>
  <c r="H263" i="3"/>
  <c r="A269" i="3"/>
  <c r="A270" i="3"/>
  <c r="A299" i="3"/>
  <c r="A300" i="3"/>
  <c r="H311" i="3"/>
  <c r="H314" i="3"/>
  <c r="H386" i="3"/>
  <c r="H443" i="3"/>
  <c r="H208" i="3"/>
  <c r="H259" i="3"/>
  <c r="D342" i="3"/>
  <c r="D344" i="3"/>
  <c r="D354" i="3"/>
  <c r="H388" i="3"/>
  <c r="H389" i="3"/>
  <c r="H411" i="3"/>
  <c r="H430" i="3"/>
  <c r="H450" i="3"/>
  <c r="B174" i="5"/>
  <c r="B182" i="3"/>
  <c r="H182" i="3" s="1"/>
  <c r="B182" i="5"/>
  <c r="B190" i="3"/>
  <c r="H190" i="3" s="1"/>
  <c r="B190" i="5"/>
  <c r="B198" i="3"/>
  <c r="H198" i="3" s="1"/>
  <c r="B198" i="5"/>
  <c r="B206" i="3"/>
  <c r="H206" i="3" s="1"/>
  <c r="B206" i="5"/>
  <c r="B214" i="3"/>
  <c r="H214" i="3" s="1"/>
  <c r="C197" i="5"/>
  <c r="C205" i="3"/>
  <c r="H205" i="3" s="1"/>
  <c r="D326" i="5"/>
  <c r="D334" i="3"/>
  <c r="D327" i="5"/>
  <c r="D335" i="3"/>
  <c r="D328" i="5"/>
  <c r="D336" i="3"/>
  <c r="D329" i="5"/>
  <c r="D337" i="3"/>
  <c r="D330" i="5"/>
  <c r="D338" i="3"/>
  <c r="D331" i="5"/>
  <c r="D339" i="3"/>
  <c r="D332" i="5"/>
  <c r="D340" i="3"/>
  <c r="D333" i="5"/>
  <c r="D341" i="3"/>
  <c r="D335" i="5"/>
  <c r="D343" i="3"/>
  <c r="D343" i="5"/>
  <c r="D351" i="3"/>
  <c r="E179" i="5"/>
  <c r="E187" i="3"/>
  <c r="E187" i="5"/>
  <c r="E195" i="3"/>
  <c r="E195" i="5"/>
  <c r="E203" i="3"/>
  <c r="E203" i="5"/>
  <c r="E211" i="3"/>
  <c r="E211" i="5"/>
  <c r="E219" i="3"/>
  <c r="E219" i="5"/>
  <c r="E227" i="3"/>
  <c r="H184" i="3"/>
  <c r="H251" i="3"/>
  <c r="H309" i="3"/>
  <c r="H355" i="3"/>
  <c r="H356" i="3"/>
  <c r="H379" i="3"/>
  <c r="H398" i="3"/>
  <c r="H418" i="3"/>
  <c r="B241" i="5"/>
  <c r="B249" i="3"/>
  <c r="H249" i="3" s="1"/>
  <c r="B249" i="5"/>
  <c r="B257" i="3"/>
  <c r="H257" i="3" s="1"/>
  <c r="B257" i="5"/>
  <c r="B265" i="3"/>
  <c r="H265" i="3" s="1"/>
  <c r="B265" i="5"/>
  <c r="B273" i="3"/>
  <c r="H273" i="3" s="1"/>
  <c r="B273" i="5"/>
  <c r="B281" i="3"/>
  <c r="H281" i="3" s="1"/>
  <c r="B281" i="5"/>
  <c r="B289" i="3"/>
  <c r="H289" i="3" s="1"/>
  <c r="B289" i="5"/>
  <c r="B297" i="3"/>
  <c r="H297" i="3" s="1"/>
  <c r="B297" i="5"/>
  <c r="B305" i="3"/>
  <c r="H305" i="3" s="1"/>
  <c r="B305" i="5"/>
  <c r="B313" i="3"/>
  <c r="H313" i="3" s="1"/>
  <c r="B313" i="5"/>
  <c r="B321" i="3"/>
  <c r="H321" i="3" s="1"/>
  <c r="B321" i="5"/>
  <c r="B329" i="3"/>
  <c r="H329" i="3" s="1"/>
  <c r="C240" i="5"/>
  <c r="C248" i="3"/>
  <c r="H248" i="3" s="1"/>
  <c r="C248" i="5"/>
  <c r="C256" i="3"/>
  <c r="H256" i="3" s="1"/>
  <c r="C256" i="5"/>
  <c r="C264" i="3"/>
  <c r="H264" i="3" s="1"/>
  <c r="C264" i="5"/>
  <c r="C272" i="3"/>
  <c r="H272" i="3" s="1"/>
  <c r="C272" i="5"/>
  <c r="C280" i="3"/>
  <c r="H280" i="3" s="1"/>
  <c r="C280" i="5"/>
  <c r="C288" i="3"/>
  <c r="H288" i="3" s="1"/>
  <c r="C288" i="5"/>
  <c r="C296" i="3"/>
  <c r="H296" i="3" s="1"/>
  <c r="C296" i="5"/>
  <c r="C304" i="3"/>
  <c r="H304" i="3" s="1"/>
  <c r="C304" i="5"/>
  <c r="C312" i="3"/>
  <c r="H312" i="3" s="1"/>
  <c r="C312" i="5"/>
  <c r="C320" i="3"/>
  <c r="H320" i="3" s="1"/>
  <c r="E238" i="5"/>
  <c r="E246" i="3"/>
  <c r="E246" i="5"/>
  <c r="E254" i="3"/>
  <c r="E254" i="5"/>
  <c r="E262" i="3"/>
  <c r="E262" i="5"/>
  <c r="E270" i="3"/>
  <c r="E270" i="5"/>
  <c r="E278" i="3"/>
  <c r="E278" i="5"/>
  <c r="E286" i="3"/>
  <c r="E286" i="5"/>
  <c r="E294" i="3"/>
  <c r="E294" i="5"/>
  <c r="E302" i="3"/>
  <c r="E302" i="5"/>
  <c r="E310" i="3"/>
  <c r="E310" i="5"/>
  <c r="E318" i="3"/>
  <c r="E318" i="5"/>
  <c r="E326" i="3"/>
  <c r="E326" i="5"/>
  <c r="E334" i="3"/>
  <c r="E334" i="5"/>
  <c r="E342" i="3"/>
  <c r="E342" i="5"/>
  <c r="E350" i="3"/>
  <c r="C213" i="3"/>
  <c r="H213" i="3" s="1"/>
  <c r="B222" i="3"/>
  <c r="H222" i="3" s="1"/>
  <c r="E235" i="3"/>
  <c r="E243" i="3"/>
  <c r="H299" i="3"/>
  <c r="H347" i="3"/>
  <c r="H363" i="3"/>
  <c r="H395" i="3"/>
  <c r="H427" i="3"/>
  <c r="H459" i="3"/>
  <c r="F237" i="5"/>
  <c r="F245" i="3"/>
  <c r="F245" i="5"/>
  <c r="F253" i="3"/>
  <c r="H307" i="3"/>
  <c r="G244" i="5"/>
  <c r="G252" i="3"/>
  <c r="J252" i="3" s="1"/>
  <c r="J472" i="3" s="1"/>
  <c r="G252" i="5"/>
  <c r="G260" i="3"/>
  <c r="J260" i="3" s="1"/>
  <c r="G268" i="3"/>
  <c r="J268" i="3" s="1"/>
  <c r="C328" i="3"/>
  <c r="H328" i="3" s="1"/>
  <c r="B337" i="3"/>
  <c r="H337" i="3" s="1"/>
  <c r="B345" i="3"/>
  <c r="H345" i="3" s="1"/>
  <c r="A354" i="3"/>
  <c r="A362" i="3"/>
  <c r="J177" i="3" l="1"/>
  <c r="J473" i="3" s="1"/>
  <c r="H62" i="3"/>
  <c r="H19" i="3"/>
  <c r="H130" i="3"/>
  <c r="H106" i="3"/>
  <c r="H98" i="3"/>
  <c r="H74" i="3"/>
  <c r="H59" i="3"/>
  <c r="H54" i="3"/>
  <c r="H133" i="3"/>
  <c r="H125" i="3"/>
  <c r="H117" i="3"/>
  <c r="H109" i="3"/>
  <c r="H101" i="3"/>
  <c r="H93" i="3"/>
  <c r="H85" i="3"/>
  <c r="H77" i="3"/>
  <c r="H135" i="3"/>
  <c r="H127" i="3"/>
  <c r="H119" i="3"/>
  <c r="H111" i="3"/>
  <c r="H103" i="3"/>
  <c r="H95" i="3"/>
  <c r="H87" i="3"/>
  <c r="H79" i="3"/>
  <c r="H45" i="3"/>
  <c r="H132" i="3"/>
  <c r="H124" i="3"/>
  <c r="H116" i="3"/>
  <c r="H108" i="3"/>
  <c r="H100" i="3"/>
  <c r="H92" i="3"/>
  <c r="H84" i="3"/>
  <c r="H76" i="3"/>
  <c r="H128" i="3"/>
  <c r="H96" i="3"/>
  <c r="H33" i="3"/>
  <c r="H121" i="3"/>
  <c r="H89" i="3"/>
  <c r="H57" i="3"/>
  <c r="H46" i="3"/>
  <c r="H134" i="3"/>
  <c r="H126" i="3"/>
  <c r="H118" i="3"/>
  <c r="H110" i="3"/>
  <c r="H102" i="3"/>
  <c r="H94" i="3"/>
  <c r="H86" i="3"/>
  <c r="H78" i="3"/>
  <c r="H52" i="3"/>
  <c r="H17" i="3"/>
  <c r="H9" i="3"/>
  <c r="H12" i="3"/>
  <c r="H32" i="3"/>
  <c r="H120" i="3"/>
  <c r="H88" i="3"/>
  <c r="H64" i="3"/>
  <c r="H48" i="3"/>
  <c r="H42" i="3"/>
  <c r="H113" i="3"/>
  <c r="H81" i="3"/>
  <c r="H49" i="3"/>
  <c r="J460" i="1"/>
  <c r="I8" i="1" s="1"/>
  <c r="H39" i="3"/>
  <c r="H70" i="3"/>
  <c r="H68" i="3"/>
  <c r="J8" i="1" l="1"/>
  <c r="J7" i="1"/>
  <c r="J9" i="1" l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<sst xmlns="http://schemas.openxmlformats.org/spreadsheetml/2006/main" count="54" uniqueCount="30">
  <si>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</si>
  <si>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3.24.2025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</si>
  <si>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</si>
  <si>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</si>
  <si>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</si>
  <si>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</si>
  <si>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</si>
  <si>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</si>
  <si>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</si>
  <si>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</si>
  <si>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</si>
  <si>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</si>
  <si>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</si>
  <si>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</si>
  <si>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</si>
  <si>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</si>
  <si>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</si>
  <si>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</si>
  <si>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</si>
  <si>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</si>
  <si>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</si>
  <si>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</si>
  <si>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</si>
  <si>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</si>
  <si>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3.5.2025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</si>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</sst>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workbookViewId="0">
      <selection activeCell="B1" sqref="B1:G1"/>
    </sheetView>
  </sheetViews>
  <sheetFormatPr defaultColWidth="12.5703125" defaultRowHeight="15.75" customHeight="1" x14ac:dyDescent="0.2"/>
  <cols>
    <col min="1" max="1" width="38" customWidth="1"/>
    <col min="2" max="2" width="32.57031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8.1406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25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131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73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1-1"</v>
      </c>
      <c r="E17" s="42" t="str">
        <f ca="1">'Fruit Trees'!E7</f>
        <v>7-8'</v>
      </c>
      <c r="F17" s="52">
        <f ca="1">'Fruit Trees'!F7</f>
        <v>14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7-11'</v>
      </c>
      <c r="F18" s="52">
        <f ca="1">'Fruit Trees'!F8</f>
        <v>74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Cortland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6-7'</v>
      </c>
      <c r="F19" s="52">
        <f ca="1">'Fruit Trees'!F9</f>
        <v>38</v>
      </c>
      <c r="G19" s="53">
        <f ca="1">'Fruit Trees'!G9</f>
        <v>55</v>
      </c>
      <c r="H19" s="51" t="str">
        <f t="shared" ca="1" si="0"/>
        <v>Apple - Cortland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Crimson Crisp</v>
      </c>
      <c r="C20" s="42" t="str">
        <f ca="1">'Fruit Trees'!C10</f>
        <v>#5</v>
      </c>
      <c r="D20" s="42" t="str">
        <f ca="1">'Fruit Trees'!D10</f>
        <v>0.75-1"</v>
      </c>
      <c r="E20" s="42" t="str">
        <f ca="1">'Fruit Trees'!E10</f>
        <v>7-10'</v>
      </c>
      <c r="F20" s="52">
        <f ca="1">'Fruit Trees'!F10</f>
        <v>44</v>
      </c>
      <c r="G20" s="53">
        <f ca="1">'Fruit Trees'!G10</f>
        <v>55</v>
      </c>
      <c r="H20" s="51" t="str">
        <f t="shared" ca="1" si="0"/>
        <v>Apple - Crimson Crisp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Crown Empire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6-8'</v>
      </c>
      <c r="F21" s="52">
        <f ca="1">'Fruit Trees'!F11</f>
        <v>15</v>
      </c>
      <c r="G21" s="53">
        <f ca="1">'Fruit Trees'!G11</f>
        <v>55</v>
      </c>
      <c r="H21" s="51" t="str">
        <f t="shared" ca="1" si="0"/>
        <v>Apple - Crown Empire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Enterprise</v>
      </c>
      <c r="C22" s="42" t="str">
        <f ca="1">'Fruit Trees'!C12</f>
        <v>#5</v>
      </c>
      <c r="D22" s="42" t="str">
        <f ca="1">'Fruit Trees'!D12</f>
        <v>1-1.25"</v>
      </c>
      <c r="E22" s="42" t="str">
        <f ca="1">'Fruit Trees'!E12</f>
        <v>7-10'</v>
      </c>
      <c r="F22" s="52">
        <f ca="1">'Fruit Trees'!F12</f>
        <v>392</v>
      </c>
      <c r="G22" s="53">
        <f ca="1">'Fruit Trees'!G12</f>
        <v>55</v>
      </c>
      <c r="H22" s="51" t="str">
        <f t="shared" ca="1" si="0"/>
        <v>Apple - Enterprise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#10</v>
      </c>
      <c r="D23" s="42" t="str">
        <f ca="1">'Fruit Trees'!D13</f>
        <v>1-1.25"</v>
      </c>
      <c r="E23" s="42" t="str">
        <f ca="1">'Fruit Trees'!E13</f>
        <v>7-10'</v>
      </c>
      <c r="F23" s="52">
        <f ca="1">'Fruit Trees'!F13</f>
        <v>13</v>
      </c>
      <c r="G23" s="53">
        <f ca="1">'Fruit Trees'!G13</f>
        <v>100</v>
      </c>
      <c r="H23" s="51" t="str">
        <f t="shared" ca="1" si="0"/>
        <v>Apple - Enterprise #10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Freedom</v>
      </c>
      <c r="C24" s="42" t="str">
        <f ca="1">'Fruit Trees'!C14</f>
        <v>#5</v>
      </c>
      <c r="D24" s="42" t="str">
        <f ca="1">'Fruit Trees'!D14</f>
        <v>1-1.25"</v>
      </c>
      <c r="E24" s="42" t="str">
        <f ca="1">'Fruit Trees'!E14</f>
        <v>7-8'</v>
      </c>
      <c r="F24" s="52">
        <f ca="1">'Fruit Trees'!F14</f>
        <v>64</v>
      </c>
      <c r="G24" s="53">
        <f ca="1">'Fruit Trees'!G14</f>
        <v>55</v>
      </c>
      <c r="H24" s="51" t="str">
        <f t="shared" ca="1" si="0"/>
        <v>Apple - Freedom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Fuji</v>
      </c>
      <c r="C25" s="42" t="str">
        <f ca="1">'Fruit Trees'!C15</f>
        <v>#5</v>
      </c>
      <c r="D25" s="42" t="str">
        <f ca="1">'Fruit Trees'!D15</f>
        <v>0.75-1.25"</v>
      </c>
      <c r="E25" s="42" t="str">
        <f ca="1">'Fruit Trees'!E15</f>
        <v>6-10'</v>
      </c>
      <c r="F25" s="52">
        <f ca="1">'Fruit Trees'!F15</f>
        <v>49</v>
      </c>
      <c r="G25" s="53">
        <f ca="1">'Fruit Trees'!G15</f>
        <v>55</v>
      </c>
      <c r="H25" s="51" t="str">
        <f t="shared" ca="1" si="0"/>
        <v>Apple - Fuji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Gala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6-10'</v>
      </c>
      <c r="F26" s="52">
        <f ca="1">'Fruit Trees'!F16</f>
        <v>80</v>
      </c>
      <c r="G26" s="53">
        <f ca="1">'Fruit Trees'!G16</f>
        <v>55</v>
      </c>
      <c r="H26" s="51" t="str">
        <f t="shared" ca="1" si="0"/>
        <v>Apple - Gala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Galarina</v>
      </c>
      <c r="C27" s="42" t="str">
        <f ca="1">'Fruit Trees'!C17</f>
        <v>#5</v>
      </c>
      <c r="D27" s="42" t="str">
        <f ca="1">'Fruit Trees'!D17</f>
        <v>1-1.25"</v>
      </c>
      <c r="E27" s="42" t="str">
        <f ca="1">'Fruit Trees'!E17</f>
        <v>8-11'</v>
      </c>
      <c r="F27" s="52">
        <f ca="1">'Fruit Trees'!F17</f>
        <v>111</v>
      </c>
      <c r="G27" s="53">
        <f ca="1">'Fruit Trees'!G17</f>
        <v>55</v>
      </c>
      <c r="H27" s="51" t="str">
        <f t="shared" ca="1" si="0"/>
        <v>Apple - Galarina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Gold Rush</v>
      </c>
      <c r="C28" s="42" t="str">
        <f ca="1">'Fruit Trees'!C18</f>
        <v>#5</v>
      </c>
      <c r="D28" s="42" t="str">
        <f ca="1">'Fruit Trees'!D18</f>
        <v>0.75-1"</v>
      </c>
      <c r="E28" s="42" t="str">
        <f ca="1">'Fruit Trees'!E18</f>
        <v>7-10'</v>
      </c>
      <c r="F28" s="52">
        <f ca="1">'Fruit Trees'!F18</f>
        <v>83</v>
      </c>
      <c r="G28" s="53">
        <f ca="1">'Fruit Trees'!G18</f>
        <v>55</v>
      </c>
      <c r="H28" s="51" t="str">
        <f t="shared" ca="1" si="0"/>
        <v>Apple - Gold Rush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Granny Smith</v>
      </c>
      <c r="C29" s="42" t="str">
        <f ca="1">'Fruit Trees'!C19</f>
        <v>#5</v>
      </c>
      <c r="D29" s="42" t="str">
        <f ca="1">'Fruit Trees'!D19</f>
        <v>0.75-1.25"</v>
      </c>
      <c r="E29" s="42" t="str">
        <f ca="1">'Fruit Trees'!E19</f>
        <v>7-11'</v>
      </c>
      <c r="F29" s="52">
        <f ca="1">'Fruit Trees'!F19</f>
        <v>92</v>
      </c>
      <c r="G29" s="53">
        <f ca="1">'Fruit Trees'!G19</f>
        <v>55</v>
      </c>
      <c r="H29" s="51" t="str">
        <f t="shared" ca="1" si="0"/>
        <v>Apple - Granny Smith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Honeycrisp</v>
      </c>
      <c r="C30" s="42" t="str">
        <f ca="1">'Fruit Trees'!C20</f>
        <v>#5</v>
      </c>
      <c r="D30" s="42" t="str">
        <f ca="1">'Fruit Trees'!D20</f>
        <v>0.75-1"</v>
      </c>
      <c r="E30" s="42" t="str">
        <f ca="1">'Fruit Trees'!E20</f>
        <v>6-9'</v>
      </c>
      <c r="F30" s="52">
        <f ca="1">'Fruit Trees'!F20</f>
        <v>54</v>
      </c>
      <c r="G30" s="53">
        <f ca="1">'Fruit Trees'!G20</f>
        <v>55</v>
      </c>
      <c r="H30" s="51" t="str">
        <f t="shared" ca="1" si="0"/>
        <v>Apple - Honeycrisp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Honeycrisp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7-10'</v>
      </c>
      <c r="F31" s="52">
        <f ca="1">'Fruit Trees'!F21</f>
        <v>6</v>
      </c>
      <c r="G31" s="53">
        <f ca="1">'Fruit Trees'!G21</f>
        <v>100</v>
      </c>
      <c r="H31" s="51" t="str">
        <f t="shared" ca="1" si="0"/>
        <v>Apple - Honeycrisp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Initial</v>
      </c>
      <c r="C32" s="42" t="str">
        <f ca="1">'Fruit Trees'!C22</f>
        <v>#5</v>
      </c>
      <c r="D32" s="42" t="str">
        <f ca="1">'Fruit Trees'!D22</f>
        <v>1-1.25"</v>
      </c>
      <c r="E32" s="42" t="str">
        <f ca="1">'Fruit Trees'!E22</f>
        <v>6-9'</v>
      </c>
      <c r="F32" s="52">
        <f ca="1">'Fruit Trees'!F22</f>
        <v>52</v>
      </c>
      <c r="G32" s="53">
        <f ca="1">'Fruit Trees'!G22</f>
        <v>55</v>
      </c>
      <c r="H32" s="51" t="str">
        <f t="shared" ca="1" si="0"/>
        <v>Apple - Initial #5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Liberty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7-10'</v>
      </c>
      <c r="F33" s="52">
        <f ca="1">'Fruit Trees'!F23</f>
        <v>126</v>
      </c>
      <c r="G33" s="53">
        <f ca="1">'Fruit Trees'!G23</f>
        <v>55</v>
      </c>
      <c r="H33" s="51" t="str">
        <f t="shared" ca="1" si="0"/>
        <v>Apple - Liberty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Liberty</v>
      </c>
      <c r="C34" s="42" t="str">
        <f ca="1">'Fruit Trees'!C24</f>
        <v>#10</v>
      </c>
      <c r="D34" s="42" t="str">
        <f ca="1">'Fruit Trees'!D24</f>
        <v>1-1.25"</v>
      </c>
      <c r="E34" s="42" t="str">
        <f ca="1">'Fruit Trees'!E24</f>
        <v>7-9'</v>
      </c>
      <c r="F34" s="52">
        <f ca="1">'Fruit Trees'!F24</f>
        <v>3</v>
      </c>
      <c r="G34" s="53">
        <f ca="1">'Fruit Trees'!G24</f>
        <v>100</v>
      </c>
      <c r="H34" s="51" t="str">
        <f t="shared" ca="1" si="0"/>
        <v>Apple - Liberty #10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Macoun</v>
      </c>
      <c r="C35" s="42" t="str">
        <f ca="1">'Fruit Trees'!C25</f>
        <v>#5</v>
      </c>
      <c r="D35" s="42" t="str">
        <f ca="1">'Fruit Trees'!D25</f>
        <v>0.75-1.25"</v>
      </c>
      <c r="E35" s="42" t="str">
        <f ca="1">'Fruit Trees'!E25</f>
        <v>7-11'</v>
      </c>
      <c r="F35" s="52">
        <f ca="1">'Fruit Trees'!F25</f>
        <v>108</v>
      </c>
      <c r="G35" s="53">
        <f ca="1">'Fruit Trees'!G25</f>
        <v>55</v>
      </c>
      <c r="H35" s="51" t="str">
        <f t="shared" ca="1" si="0"/>
        <v>Apple - Macoun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McIntosh</v>
      </c>
      <c r="C36" s="42" t="str">
        <f ca="1">'Fruit Trees'!C26</f>
        <v>#5</v>
      </c>
      <c r="D36" s="42" t="str">
        <f ca="1">'Fruit Trees'!D26</f>
        <v>0.75-1.5"</v>
      </c>
      <c r="E36" s="42" t="str">
        <f ca="1">'Fruit Trees'!E26</f>
        <v>6-10'</v>
      </c>
      <c r="F36" s="52">
        <f ca="1">'Fruit Trees'!F26</f>
        <v>104</v>
      </c>
      <c r="G36" s="53">
        <f ca="1">'Fruit Trees'!G26</f>
        <v>55</v>
      </c>
      <c r="H36" s="51" t="str">
        <f t="shared" ca="1" si="0"/>
        <v>Apple - McIntosh #5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McIntosh</v>
      </c>
      <c r="C37" s="42" t="str">
        <f ca="1">'Fruit Trees'!C27</f>
        <v>#10</v>
      </c>
      <c r="D37" s="42" t="str">
        <f ca="1">'Fruit Trees'!D27</f>
        <v>1-1.25"</v>
      </c>
      <c r="E37" s="42" t="str">
        <f ca="1">'Fruit Trees'!E27</f>
        <v>9-10'</v>
      </c>
      <c r="F37" s="52">
        <f ca="1">'Fruit Trees'!F27</f>
        <v>1</v>
      </c>
      <c r="G37" s="53">
        <f ca="1">'Fruit Trees'!G27</f>
        <v>100</v>
      </c>
      <c r="H37" s="51" t="str">
        <f t="shared" ca="1" si="0"/>
        <v>Apple - McIntosh #10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Nova Spy</v>
      </c>
      <c r="C38" s="42" t="str">
        <f ca="1">'Fruit Trees'!C28</f>
        <v>#5</v>
      </c>
      <c r="D38" s="42" t="str">
        <f ca="1">'Fruit Trees'!D28</f>
        <v>0.75-1"</v>
      </c>
      <c r="E38" s="42" t="str">
        <f ca="1">'Fruit Trees'!E28</f>
        <v>9-10'</v>
      </c>
      <c r="F38" s="52">
        <f ca="1">'Fruit Trees'!F28</f>
        <v>141</v>
      </c>
      <c r="G38" s="53">
        <f ca="1">'Fruit Trees'!G28</f>
        <v>55</v>
      </c>
      <c r="H38" s="51" t="str">
        <f t="shared" ca="1" si="0"/>
        <v>Apple - Nova Spy #5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Pink Lady</v>
      </c>
      <c r="C39" s="42" t="str">
        <f ca="1">'Fruit Trees'!C29</f>
        <v>#5</v>
      </c>
      <c r="D39" s="42" t="str">
        <f ca="1">'Fruit Trees'!D29</f>
        <v>0.75-1"</v>
      </c>
      <c r="E39" s="42" t="str">
        <f ca="1">'Fruit Trees'!E29</f>
        <v>5.5-6.5'</v>
      </c>
      <c r="F39" s="52">
        <f ca="1">'Fruit Trees'!F29</f>
        <v>23</v>
      </c>
      <c r="G39" s="53">
        <f ca="1">'Fruit Trees'!G29</f>
        <v>55</v>
      </c>
      <c r="H39" s="51" t="str">
        <f t="shared" ca="1" si="0"/>
        <v>Apple - Pink Lady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Querina</v>
      </c>
      <c r="C40" s="42" t="str">
        <f ca="1">'Fruit Trees'!C30</f>
        <v>#5</v>
      </c>
      <c r="D40" s="42" t="str">
        <f ca="1">'Fruit Trees'!D30</f>
        <v>1-1.25"</v>
      </c>
      <c r="E40" s="42" t="str">
        <f ca="1">'Fruit Trees'!E30</f>
        <v>7-11'</v>
      </c>
      <c r="F40" s="52">
        <f ca="1">'Fruit Trees'!F30</f>
        <v>183</v>
      </c>
      <c r="G40" s="53">
        <f ca="1">'Fruit Trees'!G30</f>
        <v>55</v>
      </c>
      <c r="H40" s="51" t="str">
        <f t="shared" ca="1" si="0"/>
        <v>Apple - Querina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Querina</v>
      </c>
      <c r="C41" s="42" t="str">
        <f ca="1">'Fruit Trees'!C31</f>
        <v>#10</v>
      </c>
      <c r="D41" s="42" t="str">
        <f ca="1">'Fruit Trees'!D31</f>
        <v>1-1.25"</v>
      </c>
      <c r="E41" s="42" t="str">
        <f ca="1">'Fruit Trees'!E31</f>
        <v>7-8'</v>
      </c>
      <c r="F41" s="52">
        <f ca="1">'Fruit Trees'!F31</f>
        <v>10</v>
      </c>
      <c r="G41" s="53">
        <f ca="1">'Fruit Trees'!G31</f>
        <v>100</v>
      </c>
      <c r="H41" s="51" t="str">
        <f t="shared" ca="1" si="0"/>
        <v>Apple - Querina #10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Red Cameo</v>
      </c>
      <c r="C42" s="42" t="str">
        <f ca="1">'Fruit Trees'!C32</f>
        <v>#5</v>
      </c>
      <c r="D42" s="42" t="str">
        <f ca="1">'Fruit Trees'!D32</f>
        <v>0.75-1"</v>
      </c>
      <c r="E42" s="42" t="str">
        <f ca="1">'Fruit Trees'!E32</f>
        <v>8-9'</v>
      </c>
      <c r="F42" s="52">
        <f ca="1">'Fruit Trees'!F32</f>
        <v>27</v>
      </c>
      <c r="G42" s="53">
        <f ca="1">'Fruit Trees'!G32</f>
        <v>55</v>
      </c>
      <c r="H42" s="51" t="str">
        <f t="shared" ca="1" si="0"/>
        <v>Apple - Red Cameo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Red Delicious</v>
      </c>
      <c r="C43" s="42" t="str">
        <f ca="1">'Fruit Trees'!C33</f>
        <v>#5</v>
      </c>
      <c r="D43" s="42" t="str">
        <f ca="1">'Fruit Trees'!D33</f>
        <v>0.75-1.25"</v>
      </c>
      <c r="E43" s="42" t="str">
        <f ca="1">'Fruit Trees'!E33</f>
        <v>6-11'</v>
      </c>
      <c r="F43" s="52">
        <f ca="1">'Fruit Trees'!F33</f>
        <v>138</v>
      </c>
      <c r="G43" s="53">
        <f ca="1">'Fruit Trees'!G33</f>
        <v>55</v>
      </c>
      <c r="H43" s="51" t="str">
        <f t="shared" ca="1" si="0"/>
        <v>Apple - Red Delicious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Red Delicious</v>
      </c>
      <c r="C44" s="42" t="str">
        <f ca="1">'Fruit Trees'!C34</f>
        <v>#10</v>
      </c>
      <c r="D44" s="42" t="str">
        <f ca="1">'Fruit Trees'!D34</f>
        <v>1-1.5"</v>
      </c>
      <c r="E44" s="42" t="str">
        <f ca="1">'Fruit Trees'!E34</f>
        <v>10-11'</v>
      </c>
      <c r="F44" s="52">
        <f ca="1">'Fruit Trees'!F34</f>
        <v>7</v>
      </c>
      <c r="G44" s="53">
        <f ca="1">'Fruit Trees'!G34</f>
        <v>100</v>
      </c>
      <c r="H44" s="51" t="str">
        <f t="shared" ca="1" si="0"/>
        <v>Apple - Red Delicious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RubyRush</v>
      </c>
      <c r="C45" s="42" t="str">
        <f ca="1">'Fruit Trees'!C35</f>
        <v>#5</v>
      </c>
      <c r="D45" s="42" t="str">
        <f ca="1">'Fruit Trees'!D35</f>
        <v>0.75-1.25"</v>
      </c>
      <c r="E45" s="42" t="str">
        <f ca="1">'Fruit Trees'!E35</f>
        <v>8.5-10'</v>
      </c>
      <c r="F45" s="52">
        <f ca="1">'Fruit Trees'!F35</f>
        <v>40</v>
      </c>
      <c r="G45" s="53">
        <f ca="1">'Fruit Trees'!G35</f>
        <v>55</v>
      </c>
      <c r="H45" s="51" t="str">
        <f t="shared" ca="1" si="0"/>
        <v>Apple - RubyRush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Spur Winter Banana</v>
      </c>
      <c r="C46" s="42" t="str">
        <f ca="1">'Fruit Trees'!C36</f>
        <v>#5</v>
      </c>
      <c r="D46" s="42" t="str">
        <f ca="1">'Fruit Trees'!D36</f>
        <v>0.75-1.25"</v>
      </c>
      <c r="E46" s="42" t="str">
        <f ca="1">'Fruit Trees'!E36</f>
        <v>4-8'</v>
      </c>
      <c r="F46" s="52">
        <f ca="1">'Fruit Trees'!F36</f>
        <v>21</v>
      </c>
      <c r="G46" s="53">
        <f ca="1">'Fruit Trees'!G36</f>
        <v>55</v>
      </c>
      <c r="H46" s="51" t="str">
        <f t="shared" ca="1" si="0"/>
        <v>Apple - Spur Winter Banana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Winesap</v>
      </c>
      <c r="C47" s="42" t="str">
        <f ca="1">'Fruit Trees'!C37</f>
        <v>#5</v>
      </c>
      <c r="D47" s="42" t="str">
        <f ca="1">'Fruit Trees'!D37</f>
        <v>0.75-1.25"</v>
      </c>
      <c r="E47" s="42" t="str">
        <f ca="1">'Fruit Trees'!E37</f>
        <v>7-10'</v>
      </c>
      <c r="F47" s="52">
        <f ca="1">'Fruit Trees'!F37</f>
        <v>96</v>
      </c>
      <c r="G47" s="53">
        <f ca="1">'Fruit Trees'!G37</f>
        <v>55</v>
      </c>
      <c r="H47" s="51" t="str">
        <f t="shared" ca="1" si="0"/>
        <v>Apple - Winesap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Wolf River</v>
      </c>
      <c r="C48" s="42" t="str">
        <f ca="1">'Fruit Trees'!C38</f>
        <v>#10</v>
      </c>
      <c r="D48" s="42" t="str">
        <f ca="1">'Fruit Trees'!D38</f>
        <v>1-1.25"</v>
      </c>
      <c r="E48" s="42" t="str">
        <f ca="1">'Fruit Trees'!E38</f>
        <v>8-9'</v>
      </c>
      <c r="F48" s="52">
        <f ca="1">'Fruit Trees'!F38</f>
        <v>10</v>
      </c>
      <c r="G48" s="53">
        <f ca="1">'Fruit Trees'!G38</f>
        <v>100</v>
      </c>
      <c r="H48" s="51" t="str">
        <f t="shared" ca="1" si="0"/>
        <v>Apple - Wolf River #10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Wolf River</v>
      </c>
      <c r="C49" s="42" t="str">
        <f ca="1">'Fruit Trees'!C39</f>
        <v>#5</v>
      </c>
      <c r="D49" s="42" t="str">
        <f ca="1">'Fruit Trees'!D39</f>
        <v>0.75-1"</v>
      </c>
      <c r="E49" s="42" t="str">
        <f ca="1">'Fruit Trees'!E39</f>
        <v>7-8.5'</v>
      </c>
      <c r="F49" s="52">
        <f ca="1">'Fruit Trees'!F39</f>
        <v>85</v>
      </c>
      <c r="G49" s="53">
        <f ca="1">'Fruit Trees'!G39</f>
        <v>55</v>
      </c>
      <c r="H49" s="51" t="str">
        <f t="shared" ca="1" si="0"/>
        <v>Apple - Wolf River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Apricot - OrangeRed</v>
      </c>
      <c r="C50" s="42" t="str">
        <f ca="1">'Fruit Trees'!C40</f>
        <v>#7</v>
      </c>
      <c r="D50" s="42" t="str">
        <f ca="1">'Fruit Trees'!D40</f>
        <v>1-1.25"</v>
      </c>
      <c r="E50" s="42" t="str">
        <f ca="1">'Fruit Trees'!E40</f>
        <v>7-9'</v>
      </c>
      <c r="F50" s="52">
        <f ca="1">'Fruit Trees'!F40</f>
        <v>4</v>
      </c>
      <c r="G50" s="53">
        <f ca="1">'Fruit Trees'!G40</f>
        <v>100</v>
      </c>
      <c r="H50" s="51" t="str">
        <f t="shared" ca="1" si="0"/>
        <v>Apricot - OrangeRed #7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Apricot - OrangeRed</v>
      </c>
      <c r="C51" s="42" t="str">
        <f ca="1">'Fruit Trees'!C41</f>
        <v>#10</v>
      </c>
      <c r="D51" s="42" t="str">
        <f ca="1">'Fruit Trees'!D41</f>
        <v>1-1.25"</v>
      </c>
      <c r="E51" s="42" t="str">
        <f ca="1">'Fruit Trees'!E41</f>
        <v>8-10'</v>
      </c>
      <c r="F51" s="52">
        <f ca="1">'Fruit Trees'!F41</f>
        <v>9</v>
      </c>
      <c r="G51" s="53">
        <f ca="1">'Fruit Trees'!G41</f>
        <v>100</v>
      </c>
      <c r="H51" s="51" t="str">
        <f t="shared" ca="1" si="0"/>
        <v>Apricot - OrangeRed #10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Asian Pear - Hosui</v>
      </c>
      <c r="C52" s="42" t="str">
        <f ca="1">'Fruit Trees'!C42</f>
        <v>#7</v>
      </c>
      <c r="D52" s="42" t="str">
        <f ca="1">'Fruit Trees'!D42</f>
        <v>0.75-1.25"</v>
      </c>
      <c r="E52" s="42" t="str">
        <f ca="1">'Fruit Trees'!E42</f>
        <v>7-10'</v>
      </c>
      <c r="F52" s="52">
        <f ca="1">'Fruit Trees'!F42</f>
        <v>53</v>
      </c>
      <c r="G52" s="53">
        <f ca="1">'Fruit Trees'!G42</f>
        <v>80</v>
      </c>
      <c r="H52" s="51" t="str">
        <f t="shared" ca="1" si="0"/>
        <v>Asian Pear - Hosui #7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Asian Pear - Kosui</v>
      </c>
      <c r="C53" s="42" t="str">
        <f ca="1">'Fruit Trees'!C43</f>
        <v>#7</v>
      </c>
      <c r="D53" s="42" t="str">
        <f ca="1">'Fruit Trees'!D43</f>
        <v>1-1.5"</v>
      </c>
      <c r="E53" s="42" t="str">
        <f ca="1">'Fruit Trees'!E43</f>
        <v>8-11'</v>
      </c>
      <c r="F53" s="52">
        <f ca="1">'Fruit Trees'!F43</f>
        <v>97</v>
      </c>
      <c r="G53" s="53">
        <f ca="1">'Fruit Trees'!G43</f>
        <v>80</v>
      </c>
      <c r="H53" s="51" t="str">
        <f t="shared" ca="1" si="0"/>
        <v>Asian Pear - Kosui #7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Asian Pear - Olympic</v>
      </c>
      <c r="C54" s="42" t="str">
        <f ca="1">'Fruit Trees'!C44</f>
        <v>#7</v>
      </c>
      <c r="D54" s="42" t="str">
        <f ca="1">'Fruit Trees'!D44</f>
        <v>0.75-1.5"</v>
      </c>
      <c r="E54" s="42" t="str">
        <f ca="1">'Fruit Trees'!E44</f>
        <v>6-11'</v>
      </c>
      <c r="F54" s="52">
        <f ca="1">'Fruit Trees'!F44</f>
        <v>171</v>
      </c>
      <c r="G54" s="53">
        <f ca="1">'Fruit Trees'!G44</f>
        <v>80</v>
      </c>
      <c r="H54" s="51" t="str">
        <f t="shared" ca="1" si="0"/>
        <v>Asian Pear - Olympic #7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Asian Pear - Shinko</v>
      </c>
      <c r="C55" s="42" t="str">
        <f ca="1">'Fruit Trees'!C45</f>
        <v>#5</v>
      </c>
      <c r="D55" s="42" t="str">
        <f ca="1">'Fruit Trees'!D45</f>
        <v>1-1.25"</v>
      </c>
      <c r="E55" s="42" t="str">
        <f ca="1">'Fruit Trees'!E45</f>
        <v>8-10'</v>
      </c>
      <c r="F55" s="52">
        <f ca="1">'Fruit Trees'!F45</f>
        <v>1</v>
      </c>
      <c r="G55" s="53">
        <f ca="1">'Fruit Trees'!G45</f>
        <v>55</v>
      </c>
      <c r="H55" s="51" t="str">
        <f t="shared" ca="1" si="0"/>
        <v>Asian Pear - Shinko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Asian Pear - Shinko</v>
      </c>
      <c r="C56" s="42" t="str">
        <f ca="1">'Fruit Trees'!C46</f>
        <v>#7</v>
      </c>
      <c r="D56" s="42" t="str">
        <f ca="1">'Fruit Trees'!D46</f>
        <v>0.75-1.5"</v>
      </c>
      <c r="E56" s="42" t="str">
        <f ca="1">'Fruit Trees'!E46</f>
        <v>7-12'</v>
      </c>
      <c r="F56" s="52">
        <f ca="1">'Fruit Trees'!F46</f>
        <v>79</v>
      </c>
      <c r="G56" s="53">
        <f ca="1">'Fruit Trees'!G46</f>
        <v>80</v>
      </c>
      <c r="H56" s="51" t="str">
        <f t="shared" ca="1" si="0"/>
        <v>Asian Pear - Shinko #7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Blackberry - Prime-ark 'Freedom'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3-6'</v>
      </c>
      <c r="F57" s="52">
        <f ca="1">'Fruit Trees'!F47</f>
        <v>1</v>
      </c>
      <c r="G57" s="53">
        <f ca="1">'Fruit Trees'!G47</f>
        <v>35</v>
      </c>
      <c r="H57" s="51" t="str">
        <f t="shared" ca="1" si="0"/>
        <v>Blackberry - Prime-ark 'Freedom'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Cherry (Sour) - Montmorency</v>
      </c>
      <c r="C58" s="42" t="str">
        <f ca="1">'Fruit Trees'!C48</f>
        <v>#5</v>
      </c>
      <c r="D58" s="42" t="str">
        <f ca="1">'Fruit Trees'!D48</f>
        <v>0.75-1.25"</v>
      </c>
      <c r="E58" s="42" t="str">
        <f ca="1">'Fruit Trees'!E48</f>
        <v>5-7'</v>
      </c>
      <c r="F58" s="52">
        <f ca="1">'Fruit Trees'!F48</f>
        <v>42</v>
      </c>
      <c r="G58" s="53">
        <f ca="1">'Fruit Trees'!G48</f>
        <v>80</v>
      </c>
      <c r="H58" s="51" t="str">
        <f t="shared" ca="1" si="0"/>
        <v>Cherry (Sour) - Montmorency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Chestnut - Chinese</v>
      </c>
      <c r="C59" s="42" t="str">
        <f ca="1">'Fruit Trees'!C49</f>
        <v>#5</v>
      </c>
      <c r="D59" s="42" t="str">
        <f ca="1">'Fruit Trees'!D49</f>
        <v>0.5-0.75"</v>
      </c>
      <c r="E59" s="42" t="str">
        <f ca="1">'Fruit Trees'!E49</f>
        <v>4-8'</v>
      </c>
      <c r="F59" s="52">
        <f ca="1">'Fruit Trees'!F49</f>
        <v>153</v>
      </c>
      <c r="G59" s="53">
        <f ca="1">'Fruit Trees'!G49</f>
        <v>55</v>
      </c>
      <c r="H59" s="51" t="str">
        <f t="shared" ca="1" si="0"/>
        <v>Chestnut - Chinese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Chestnut - Chinese Jenny</v>
      </c>
      <c r="C60" s="42" t="str">
        <f ca="1">'Fruit Trees'!C50</f>
        <v>#3</v>
      </c>
      <c r="D60" s="42" t="str">
        <f ca="1">'Fruit Trees'!D50</f>
        <v>0.5-0.75"</v>
      </c>
      <c r="E60" s="42" t="str">
        <f ca="1">'Fruit Trees'!E50</f>
        <v>5-6'</v>
      </c>
      <c r="F60" s="52">
        <f ca="1">'Fruit Trees'!F50</f>
        <v>1</v>
      </c>
      <c r="G60" s="53">
        <f ca="1">'Fruit Trees'!G50</f>
        <v>50</v>
      </c>
      <c r="H60" s="51" t="str">
        <f t="shared" ca="1" si="0"/>
        <v>Chestnut - Chinese Jenny #3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Currant - Rovada Red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0.5-1'</v>
      </c>
      <c r="F61" s="52">
        <f ca="1">'Fruit Trees'!F51</f>
        <v>1</v>
      </c>
      <c r="G61" s="53">
        <f ca="1">'Fruit Trees'!G51</f>
        <v>45</v>
      </c>
      <c r="H61" s="51" t="str">
        <f t="shared" ca="1" si="0"/>
        <v>Currant - Rovada Red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Elderberry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3-7'</v>
      </c>
      <c r="F62" s="52">
        <f ca="1">'Fruit Trees'!F52</f>
        <v>81</v>
      </c>
      <c r="G62" s="53">
        <f ca="1">'Fruit Trees'!G52</f>
        <v>35</v>
      </c>
      <c r="H62" s="51" t="str">
        <f t="shared" ca="1" si="0"/>
        <v>Elderberry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Elderberry - Pocahontas</v>
      </c>
      <c r="C63" s="42" t="str">
        <f ca="1">'Fruit Trees'!C53</f>
        <v>#5</v>
      </c>
      <c r="D63" s="42" t="str">
        <f ca="1">'Fruit Trees'!D53</f>
        <v>Multi</v>
      </c>
      <c r="E63" s="42" t="str">
        <f ca="1">'Fruit Trees'!E53</f>
        <v>3-4'</v>
      </c>
      <c r="F63" s="52">
        <f ca="1">'Fruit Trees'!F53</f>
        <v>67</v>
      </c>
      <c r="G63" s="53">
        <f ca="1">'Fruit Trees'!G53</f>
        <v>35</v>
      </c>
      <c r="H63" s="51" t="str">
        <f t="shared" ca="1" si="0"/>
        <v>Elderberry - Pocahontas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Elderberry - York</v>
      </c>
      <c r="C64" s="42" t="str">
        <f ca="1">'Fruit Trees'!C54</f>
        <v>#5</v>
      </c>
      <c r="D64" s="42" t="str">
        <f ca="1">'Fruit Trees'!D54</f>
        <v>Multi</v>
      </c>
      <c r="E64" s="42" t="str">
        <f ca="1">'Fruit Trees'!E54</f>
        <v>3-5'</v>
      </c>
      <c r="F64" s="52">
        <f ca="1">'Fruit Trees'!F54</f>
        <v>176</v>
      </c>
      <c r="G64" s="53">
        <f ca="1">'Fruit Trees'!G54</f>
        <v>35</v>
      </c>
      <c r="H64" s="51" t="str">
        <f t="shared" ca="1" si="0"/>
        <v>Elderberry - York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Fig - Black Mission</v>
      </c>
      <c r="C65" s="42" t="str">
        <f ca="1">'Fruit Trees'!C55</f>
        <v>#5</v>
      </c>
      <c r="D65" s="42" t="str">
        <f ca="1">'Fruit Trees'!D55</f>
        <v>Multi</v>
      </c>
      <c r="E65" s="42" t="str">
        <f ca="1">'Fruit Trees'!E55</f>
        <v>1-2.5'</v>
      </c>
      <c r="F65" s="52">
        <f ca="1">'Fruit Trees'!F55</f>
        <v>29</v>
      </c>
      <c r="G65" s="53">
        <f ca="1">'Fruit Trees'!G55</f>
        <v>35</v>
      </c>
      <c r="H65" s="51" t="str">
        <f t="shared" ca="1" si="0"/>
        <v>Fig - Black Mission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Fig - Brown Turkey</v>
      </c>
      <c r="C66" s="42" t="str">
        <f ca="1">'Fruit Trees'!C56</f>
        <v>#5</v>
      </c>
      <c r="D66" s="42" t="str">
        <f ca="1">'Fruit Trees'!D56</f>
        <v>Multi</v>
      </c>
      <c r="E66" s="42" t="str">
        <f ca="1">'Fruit Trees'!E56</f>
        <v>1-2'</v>
      </c>
      <c r="F66" s="52">
        <f ca="1">'Fruit Trees'!F56</f>
        <v>26</v>
      </c>
      <c r="G66" s="53">
        <f ca="1">'Fruit Trees'!G56</f>
        <v>35</v>
      </c>
      <c r="H66" s="51" t="str">
        <f t="shared" ca="1" si="0"/>
        <v>Fig - Brown Turkey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Fig - Celeste</v>
      </c>
      <c r="C67" s="42" t="str">
        <f ca="1">'Fruit Trees'!C57</f>
        <v>#5</v>
      </c>
      <c r="D67" s="42" t="str">
        <f ca="1">'Fruit Trees'!D57</f>
        <v>Multi</v>
      </c>
      <c r="E67" s="42" t="str">
        <f ca="1">'Fruit Trees'!E57</f>
        <v>1-2'</v>
      </c>
      <c r="F67" s="52">
        <f ca="1">'Fruit Trees'!F57</f>
        <v>43</v>
      </c>
      <c r="G67" s="53">
        <f ca="1">'Fruit Trees'!G57</f>
        <v>35</v>
      </c>
      <c r="H67" s="51" t="str">
        <f t="shared" ca="1" si="0"/>
        <v>Fig - Celeste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Fig - Chicago Hardy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2-2.5'</v>
      </c>
      <c r="F68" s="52">
        <f ca="1">'Fruit Trees'!F58</f>
        <v>138</v>
      </c>
      <c r="G68" s="53">
        <f ca="1">'Fruit Trees'!G58</f>
        <v>35</v>
      </c>
      <c r="H68" s="51" t="str">
        <f t="shared" ca="1" si="0"/>
        <v>Fig - Chicago Hardy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Fig - Italian Honey</v>
      </c>
      <c r="C69" s="42" t="str">
        <f ca="1">'Fruit Trees'!C59</f>
        <v>#5</v>
      </c>
      <c r="D69" s="42" t="str">
        <f ca="1">'Fruit Trees'!D59</f>
        <v>Multi</v>
      </c>
      <c r="E69" s="42" t="str">
        <f ca="1">'Fruit Trees'!E59</f>
        <v>1-2.5'</v>
      </c>
      <c r="F69" s="52">
        <f ca="1">'Fruit Trees'!F59</f>
        <v>12</v>
      </c>
      <c r="G69" s="53">
        <f ca="1">'Fruit Trees'!G59</f>
        <v>35</v>
      </c>
      <c r="H69" s="51" t="str">
        <f t="shared" ca="1" si="0"/>
        <v>Fig - Italian Honey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Gooseberry - Hinnomaki Red</v>
      </c>
      <c r="C70" s="42" t="str">
        <f ca="1">'Fruit Trees'!C60</f>
        <v>#5</v>
      </c>
      <c r="D70" s="42" t="str">
        <f ca="1">'Fruit Trees'!D60</f>
        <v>Multi</v>
      </c>
      <c r="E70" s="42" t="str">
        <f ca="1">'Fruit Trees'!E60</f>
        <v>1-1'</v>
      </c>
      <c r="F70" s="52">
        <f ca="1">'Fruit Trees'!F60</f>
        <v>11</v>
      </c>
      <c r="G70" s="53">
        <f ca="1">'Fruit Trees'!G60</f>
        <v>45</v>
      </c>
      <c r="H70" s="51" t="str">
        <f t="shared" ca="1" si="0"/>
        <v>Gooseberry - Hinnomaki Red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Gooseberry - Invicta Green</v>
      </c>
      <c r="C71" s="42" t="str">
        <f ca="1">'Fruit Trees'!C61</f>
        <v>#5</v>
      </c>
      <c r="D71" s="42" t="str">
        <f ca="1">'Fruit Trees'!D61</f>
        <v>Multi</v>
      </c>
      <c r="E71" s="42" t="str">
        <f ca="1">'Fruit Trees'!E61</f>
        <v>1-1.5'</v>
      </c>
      <c r="F71" s="52">
        <f ca="1">'Fruit Trees'!F61</f>
        <v>21</v>
      </c>
      <c r="G71" s="53">
        <f ca="1">'Fruit Trees'!G61</f>
        <v>45</v>
      </c>
      <c r="H71" s="51" t="str">
        <f t="shared" ca="1" si="0"/>
        <v>Gooseberry - Invicta Green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Grape - Concord (seeded)</v>
      </c>
      <c r="C72" s="42" t="str">
        <f ca="1">'Fruit Trees'!C62</f>
        <v>#7</v>
      </c>
      <c r="D72" s="42" t="str">
        <f ca="1">'Fruit Trees'!D62</f>
        <v>Vine</v>
      </c>
      <c r="E72" s="42" t="str">
        <f ca="1">'Fruit Trees'!E62</f>
        <v>5-6'</v>
      </c>
      <c r="F72" s="52">
        <f ca="1">'Fruit Trees'!F62</f>
        <v>1</v>
      </c>
      <c r="G72" s="53">
        <f ca="1">'Fruit Trees'!G62</f>
        <v>50</v>
      </c>
      <c r="H72" s="51" t="str">
        <f t="shared" ca="1" si="0"/>
        <v>Grape - Concord (seeded) #7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Hardy Kiwi - Prolific</v>
      </c>
      <c r="C73" s="42" t="str">
        <f ca="1">'Fruit Trees'!C63</f>
        <v>#5</v>
      </c>
      <c r="D73" s="42" t="str">
        <f ca="1">'Fruit Trees'!D63</f>
        <v>Vine</v>
      </c>
      <c r="E73" s="42" t="str">
        <f ca="1">'Fruit Trees'!E63</f>
        <v>6-7'</v>
      </c>
      <c r="F73" s="52">
        <f ca="1">'Fruit Trees'!F63</f>
        <v>19</v>
      </c>
      <c r="G73" s="53">
        <f ca="1">'Fruit Trees'!G63</f>
        <v>37</v>
      </c>
      <c r="H73" s="51" t="str">
        <f t="shared" ca="1" si="0"/>
        <v>Hardy Kiwi - Prolific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Jujube - GA 866</v>
      </c>
      <c r="C74" s="42" t="str">
        <f ca="1">'Fruit Trees'!C64</f>
        <v>#5</v>
      </c>
      <c r="D74" s="42" t="str">
        <f ca="1">'Fruit Trees'!D64</f>
        <v>0.75-1"</v>
      </c>
      <c r="E74" s="42" t="str">
        <f ca="1">'Fruit Trees'!E64</f>
        <v>8-10'</v>
      </c>
      <c r="F74" s="52">
        <f ca="1">'Fruit Trees'!F64</f>
        <v>50</v>
      </c>
      <c r="G74" s="53">
        <f ca="1">'Fruit Trees'!G64</f>
        <v>100</v>
      </c>
      <c r="H74" s="51" t="str">
        <f t="shared" ca="1" si="0"/>
        <v>Jujube - GA 866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Jujube - GA 866</v>
      </c>
      <c r="C75" s="42" t="str">
        <f ca="1">'Fruit Trees'!C65</f>
        <v>#7</v>
      </c>
      <c r="D75" s="42" t="str">
        <f ca="1">'Fruit Trees'!D65</f>
        <v>0.75-1"</v>
      </c>
      <c r="E75" s="42" t="str">
        <f ca="1">'Fruit Trees'!E65</f>
        <v>7-10'</v>
      </c>
      <c r="F75" s="52">
        <f ca="1">'Fruit Trees'!F65</f>
        <v>25</v>
      </c>
      <c r="G75" s="53">
        <f ca="1">'Fruit Trees'!G65</f>
        <v>100</v>
      </c>
      <c r="H75" s="51" t="str">
        <f t="shared" ca="1" si="0"/>
        <v>Jujube - GA 866 #7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Jujube - Lang</v>
      </c>
      <c r="C76" s="42" t="str">
        <f ca="1">'Fruit Trees'!C66</f>
        <v>#5</v>
      </c>
      <c r="D76" s="42" t="str">
        <f ca="1">'Fruit Trees'!D66</f>
        <v>0.75-1"</v>
      </c>
      <c r="E76" s="42" t="str">
        <f ca="1">'Fruit Trees'!E66</f>
        <v>5-7'</v>
      </c>
      <c r="F76" s="52">
        <f ca="1">'Fruit Trees'!F66</f>
        <v>34</v>
      </c>
      <c r="G76" s="53">
        <f ca="1">'Fruit Trees'!G66</f>
        <v>100</v>
      </c>
      <c r="H76" s="51" t="str">
        <f t="shared" ca="1" si="0"/>
        <v>Jujube - Lang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Jujube - Lang</v>
      </c>
      <c r="C77" s="42" t="str">
        <f ca="1">'Fruit Trees'!C67</f>
        <v>#7</v>
      </c>
      <c r="D77" s="42" t="str">
        <f ca="1">'Fruit Trees'!D67</f>
        <v>0.75-1"</v>
      </c>
      <c r="E77" s="42" t="str">
        <f ca="1">'Fruit Trees'!E67</f>
        <v>6-8'</v>
      </c>
      <c r="F77" s="52">
        <f ca="1">'Fruit Trees'!F67</f>
        <v>7</v>
      </c>
      <c r="G77" s="53">
        <f ca="1">'Fruit Trees'!G67</f>
        <v>100</v>
      </c>
      <c r="H77" s="51" t="str">
        <f t="shared" ca="1" si="0"/>
        <v>Jujube - Lang #7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Jujube - Li</v>
      </c>
      <c r="C78" s="42" t="str">
        <f ca="1">'Fruit Trees'!C68</f>
        <v>#5</v>
      </c>
      <c r="D78" s="42" t="str">
        <f ca="1">'Fruit Trees'!D68</f>
        <v>0.5-1"</v>
      </c>
      <c r="E78" s="42" t="str">
        <f ca="1">'Fruit Trees'!E68</f>
        <v>4-9'</v>
      </c>
      <c r="F78" s="52">
        <f ca="1">'Fruit Trees'!F68</f>
        <v>177</v>
      </c>
      <c r="G78" s="53">
        <f ca="1">'Fruit Trees'!G68</f>
        <v>100</v>
      </c>
      <c r="H78" s="51" t="str">
        <f t="shared" ca="1" si="0"/>
        <v>Jujube - Li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Jujube - Li</v>
      </c>
      <c r="C79" s="42" t="str">
        <f ca="1">'Fruit Trees'!C69</f>
        <v>#7</v>
      </c>
      <c r="D79" s="42" t="str">
        <f ca="1">'Fruit Trees'!D69</f>
        <v>0.75-1"</v>
      </c>
      <c r="E79" s="42" t="str">
        <f ca="1">'Fruit Trees'!E69</f>
        <v>6-10'</v>
      </c>
      <c r="F79" s="52">
        <f ca="1">'Fruit Trees'!F69</f>
        <v>10</v>
      </c>
      <c r="G79" s="53">
        <f ca="1">'Fruit Trees'!G69</f>
        <v>100</v>
      </c>
      <c r="H79" s="51" t="str">
        <f t="shared" ca="1" si="0"/>
        <v>Jujube - Li #7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Jujube - Sugar Cane</v>
      </c>
      <c r="C80" s="42" t="str">
        <f ca="1">'Fruit Trees'!C70</f>
        <v>#5</v>
      </c>
      <c r="D80" s="42" t="str">
        <f ca="1">'Fruit Trees'!D70</f>
        <v>0.5-1"</v>
      </c>
      <c r="E80" s="42" t="str">
        <f ca="1">'Fruit Trees'!E70</f>
        <v>5-10'</v>
      </c>
      <c r="F80" s="52">
        <f ca="1">'Fruit Trees'!F70</f>
        <v>158</v>
      </c>
      <c r="G80" s="53">
        <f ca="1">'Fruit Trees'!G70</f>
        <v>100</v>
      </c>
      <c r="H80" s="51" t="str">
        <f t="shared" ca="1" si="0"/>
        <v>Jujube - Sugar Cane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Mulberry - Red</v>
      </c>
      <c r="C81" s="42" t="str">
        <f ca="1">'Fruit Trees'!C71</f>
        <v>#5</v>
      </c>
      <c r="D81" s="42" t="str">
        <f ca="1">'Fruit Trees'!D71</f>
        <v>0.5-1.5"</v>
      </c>
      <c r="E81" s="42" t="str">
        <f ca="1">'Fruit Trees'!E71</f>
        <v>4-10'</v>
      </c>
      <c r="F81" s="52">
        <f ca="1">'Fruit Trees'!F71</f>
        <v>41</v>
      </c>
      <c r="G81" s="53">
        <f ca="1">'Fruit Trees'!G71</f>
        <v>50</v>
      </c>
      <c r="H81" s="51" t="str">
        <f t="shared" ca="1" si="0"/>
        <v>Mulberry - Red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Mulberry - White</v>
      </c>
      <c r="C82" s="42" t="str">
        <f ca="1">'Fruit Trees'!C72</f>
        <v>#5</v>
      </c>
      <c r="D82" s="42" t="str">
        <f ca="1">'Fruit Trees'!D72</f>
        <v>1-1.5"</v>
      </c>
      <c r="E82" s="42" t="str">
        <f ca="1">'Fruit Trees'!E72</f>
        <v>6-9'</v>
      </c>
      <c r="F82" s="52">
        <f ca="1">'Fruit Trees'!F72</f>
        <v>5</v>
      </c>
      <c r="G82" s="53">
        <f ca="1">'Fruit Trees'!G72</f>
        <v>50</v>
      </c>
      <c r="H82" s="51" t="str">
        <f t="shared" ca="1" si="0"/>
        <v>Mulberry - White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Nectarine - Fantasia</v>
      </c>
      <c r="C83" s="42" t="str">
        <f ca="1">'Fruit Trees'!C73</f>
        <v>#5</v>
      </c>
      <c r="D83" s="42" t="str">
        <f ca="1">'Fruit Trees'!D73</f>
        <v>1-1.25"</v>
      </c>
      <c r="E83" s="42" t="str">
        <f ca="1">'Fruit Trees'!E73</f>
        <v>6-7'</v>
      </c>
      <c r="F83" s="52">
        <f ca="1">'Fruit Trees'!F73</f>
        <v>2</v>
      </c>
      <c r="G83" s="53">
        <f ca="1">'Fruit Trees'!G73</f>
        <v>55</v>
      </c>
      <c r="H83" s="51" t="str">
        <f t="shared" ca="1" si="0"/>
        <v>Nectarine - Fantasia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Nectarine - Flavortop</v>
      </c>
      <c r="C84" s="42" t="str">
        <f ca="1">'Fruit Trees'!C74</f>
        <v>#5</v>
      </c>
      <c r="D84" s="42" t="str">
        <f ca="1">'Fruit Trees'!D74</f>
        <v>1-1.25"</v>
      </c>
      <c r="E84" s="42" t="str">
        <f ca="1">'Fruit Trees'!E74</f>
        <v>6-7'</v>
      </c>
      <c r="F84" s="52">
        <f ca="1">'Fruit Trees'!F74</f>
        <v>40</v>
      </c>
      <c r="G84" s="53">
        <f ca="1">'Fruit Trees'!G74</f>
        <v>55</v>
      </c>
      <c r="H84" s="51" t="str">
        <f t="shared" ca="1" si="0"/>
        <v>Nectarine - Flavortop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Nectarine - Independence</v>
      </c>
      <c r="C85" s="42" t="str">
        <f ca="1">'Fruit Trees'!C75</f>
        <v>#5</v>
      </c>
      <c r="D85" s="42" t="str">
        <f ca="1">'Fruit Trees'!D75</f>
        <v>0.75-1"</v>
      </c>
      <c r="E85" s="42" t="str">
        <f ca="1">'Fruit Trees'!E75</f>
        <v>5-7'</v>
      </c>
      <c r="F85" s="52">
        <f ca="1">'Fruit Trees'!F75</f>
        <v>41</v>
      </c>
      <c r="G85" s="53">
        <f ca="1">'Fruit Trees'!G75</f>
        <v>55</v>
      </c>
      <c r="H85" s="51" t="str">
        <f t="shared" ca="1" si="0"/>
        <v>Nectarine - Independence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Nectarine - Redgold</v>
      </c>
      <c r="C86" s="42" t="str">
        <f ca="1">'Fruit Trees'!C76</f>
        <v>#5</v>
      </c>
      <c r="D86" s="42" t="str">
        <f ca="1">'Fruit Trees'!D76</f>
        <v>0.75-1"</v>
      </c>
      <c r="E86" s="42" t="str">
        <f ca="1">'Fruit Trees'!E76</f>
        <v>4-5'</v>
      </c>
      <c r="F86" s="52">
        <f ca="1">'Fruit Trees'!F76</f>
        <v>64</v>
      </c>
      <c r="G86" s="53">
        <f ca="1">'Fruit Trees'!G76</f>
        <v>55</v>
      </c>
      <c r="H86" s="51" t="str">
        <f t="shared" ca="1" si="0"/>
        <v>Nectarine - Redgold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Nectarine (White) - Arctic Glo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4-6'</v>
      </c>
      <c r="F87" s="52">
        <f ca="1">'Fruit Trees'!F77</f>
        <v>56</v>
      </c>
      <c r="G87" s="53">
        <f ca="1">'Fruit Trees'!G77</f>
        <v>55</v>
      </c>
      <c r="H87" s="51" t="str">
        <f t="shared" ca="1" si="0"/>
        <v>Nectarine (White) - Arctic Glo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Nectarine (White) - Arctic Glo</v>
      </c>
      <c r="C88" s="42" t="str">
        <f ca="1">'Fruit Trees'!C78</f>
        <v>#7</v>
      </c>
      <c r="D88" s="42" t="str">
        <f ca="1">'Fruit Trees'!D78</f>
        <v>0.75-1"</v>
      </c>
      <c r="E88" s="42" t="str">
        <f ca="1">'Fruit Trees'!E78</f>
        <v>5-6'</v>
      </c>
      <c r="F88" s="52">
        <f ca="1">'Fruit Trees'!F78</f>
        <v>20</v>
      </c>
      <c r="G88" s="53">
        <f ca="1">'Fruit Trees'!G78</f>
        <v>80</v>
      </c>
      <c r="H88" s="51" t="str">
        <f t="shared" ca="1" si="0"/>
        <v>Nectarine (White) - Arctic Glo #7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Nectarine (White) - Arctic Sweet</v>
      </c>
      <c r="C89" s="42" t="str">
        <f ca="1">'Fruit Trees'!C79</f>
        <v>#7</v>
      </c>
      <c r="D89" s="42" t="str">
        <f ca="1">'Fruit Trees'!D79</f>
        <v>1.25-1.5"</v>
      </c>
      <c r="E89" s="42" t="str">
        <f ca="1">'Fruit Trees'!E79</f>
        <v>9-10'</v>
      </c>
      <c r="F89" s="52">
        <f ca="1">'Fruit Trees'!F79</f>
        <v>23</v>
      </c>
      <c r="G89" s="53">
        <f ca="1">'Fruit Trees'!G79</f>
        <v>80</v>
      </c>
      <c r="H89" s="51" t="str">
        <f t="shared" ca="1" si="0"/>
        <v>Nectarine (White) - Arctic Sweet #7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Pawpaw</v>
      </c>
      <c r="C90" s="42" t="str">
        <f ca="1">'Fruit Trees'!C80</f>
        <v>#5</v>
      </c>
      <c r="D90" s="42" t="str">
        <f ca="1">'Fruit Trees'!D80</f>
        <v>0.25-0.5"</v>
      </c>
      <c r="E90" s="42" t="str">
        <f ca="1">'Fruit Trees'!E80</f>
        <v>1-4'</v>
      </c>
      <c r="F90" s="52">
        <f ca="1">'Fruit Trees'!F80</f>
        <v>69</v>
      </c>
      <c r="G90" s="53">
        <f ca="1">'Fruit Trees'!G80</f>
        <v>50</v>
      </c>
      <c r="H90" s="51" t="str">
        <f t="shared" ca="1" si="0"/>
        <v>Pawpaw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Pawpaw - Allegheny</v>
      </c>
      <c r="C91" s="42" t="str">
        <f ca="1">'Fruit Trees'!C81</f>
        <v>#5</v>
      </c>
      <c r="D91" s="42" t="str">
        <f ca="1">'Fruit Trees'!D81</f>
        <v>0.25-0.5"</v>
      </c>
      <c r="E91" s="42" t="str">
        <f ca="1">'Fruit Trees'!E81</f>
        <v>2-4.5'</v>
      </c>
      <c r="F91" s="52">
        <f ca="1">'Fruit Trees'!F81</f>
        <v>12</v>
      </c>
      <c r="G91" s="53">
        <f ca="1">'Fruit Trees'!G81</f>
        <v>100</v>
      </c>
      <c r="H91" s="51" t="str">
        <f t="shared" ca="1" si="0"/>
        <v>Pawpaw - Allegheny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Pawpaw - NC-1</v>
      </c>
      <c r="C92" s="42" t="str">
        <f ca="1">'Fruit Trees'!C82</f>
        <v>#5</v>
      </c>
      <c r="D92" s="42" t="str">
        <f ca="1">'Fruit Trees'!D82</f>
        <v>0.25-0.5"</v>
      </c>
      <c r="E92" s="42" t="str">
        <f ca="1">'Fruit Trees'!E82</f>
        <v>2-3'</v>
      </c>
      <c r="F92" s="52">
        <f ca="1">'Fruit Trees'!F82</f>
        <v>47</v>
      </c>
      <c r="G92" s="53">
        <f ca="1">'Fruit Trees'!G82</f>
        <v>100</v>
      </c>
      <c r="H92" s="51" t="str">
        <f t="shared" ca="1" si="0"/>
        <v>Pawpaw - NC-1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Pawpaw - Potomac</v>
      </c>
      <c r="C93" s="42" t="str">
        <f ca="1">'Fruit Trees'!C83</f>
        <v>#5</v>
      </c>
      <c r="D93" s="42" t="str">
        <f ca="1">'Fruit Trees'!D83</f>
        <v>0.25-0.5"</v>
      </c>
      <c r="E93" s="42" t="str">
        <f ca="1">'Fruit Trees'!E83</f>
        <v>1-4.5'</v>
      </c>
      <c r="F93" s="52">
        <f ca="1">'Fruit Trees'!F83</f>
        <v>51</v>
      </c>
      <c r="G93" s="53">
        <f ca="1">'Fruit Trees'!G83</f>
        <v>100</v>
      </c>
      <c r="H93" s="51" t="str">
        <f t="shared" ca="1" si="0"/>
        <v>Pawpaw - Potomac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Pawpaw - Shenandoah</v>
      </c>
      <c r="C94" s="42" t="str">
        <f ca="1">'Fruit Trees'!C84</f>
        <v>#5</v>
      </c>
      <c r="D94" s="42" t="str">
        <f ca="1">'Fruit Trees'!D84</f>
        <v>0.25-0.5"</v>
      </c>
      <c r="E94" s="42" t="str">
        <f ca="1">'Fruit Trees'!E84</f>
        <v>2-4'</v>
      </c>
      <c r="F94" s="52">
        <f ca="1">'Fruit Trees'!F84</f>
        <v>7</v>
      </c>
      <c r="G94" s="53">
        <f ca="1">'Fruit Trees'!G84</f>
        <v>100</v>
      </c>
      <c r="H94" s="51" t="str">
        <f t="shared" ca="1" si="0"/>
        <v>Pawpaw - Shenandoah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Pawpaw - Wabash</v>
      </c>
      <c r="C95" s="42" t="str">
        <f ca="1">'Fruit Trees'!C85</f>
        <v>#5</v>
      </c>
      <c r="D95" s="42" t="str">
        <f ca="1">'Fruit Trees'!D85</f>
        <v>0.25-0.25"</v>
      </c>
      <c r="E95" s="42" t="str">
        <f ca="1">'Fruit Trees'!E85</f>
        <v>1-3'</v>
      </c>
      <c r="F95" s="52">
        <f ca="1">'Fruit Trees'!F85</f>
        <v>22</v>
      </c>
      <c r="G95" s="53">
        <f ca="1">'Fruit Trees'!G85</f>
        <v>100</v>
      </c>
      <c r="H95" s="51" t="str">
        <f t="shared" ca="1" si="0"/>
        <v>Pawpaw - Wabash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Peach - Contender</v>
      </c>
      <c r="C96" s="42" t="str">
        <f ca="1">'Fruit Trees'!C86</f>
        <v>#5</v>
      </c>
      <c r="D96" s="42" t="str">
        <f ca="1">'Fruit Trees'!D86</f>
        <v>0.75-1"</v>
      </c>
      <c r="E96" s="42" t="str">
        <f ca="1">'Fruit Trees'!E86</f>
        <v>4-6'</v>
      </c>
      <c r="F96" s="52">
        <f ca="1">'Fruit Trees'!F86</f>
        <v>15</v>
      </c>
      <c r="G96" s="53">
        <f ca="1">'Fruit Trees'!G86</f>
        <v>55</v>
      </c>
      <c r="H96" s="51" t="str">
        <f t="shared" ca="1" si="0"/>
        <v>Peach - Contender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Peach - Cresthaven</v>
      </c>
      <c r="C97" s="42" t="str">
        <f ca="1">'Fruit Trees'!C87</f>
        <v>#5</v>
      </c>
      <c r="D97" s="42" t="str">
        <f ca="1">'Fruit Trees'!D87</f>
        <v>0.75-0.75"</v>
      </c>
      <c r="E97" s="42" t="str">
        <f ca="1">'Fruit Trees'!E87</f>
        <v>4-6'</v>
      </c>
      <c r="F97" s="52">
        <f ca="1">'Fruit Trees'!F87</f>
        <v>33</v>
      </c>
      <c r="G97" s="53">
        <f ca="1">'Fruit Trees'!G87</f>
        <v>55</v>
      </c>
      <c r="H97" s="51" t="str">
        <f t="shared" ca="1" si="0"/>
        <v>Peach - Cresthaven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Peach - Harvester</v>
      </c>
      <c r="C98" s="42" t="str">
        <f ca="1">'Fruit Trees'!C88</f>
        <v>#5</v>
      </c>
      <c r="D98" s="42" t="str">
        <f ca="1">'Fruit Trees'!D88</f>
        <v>0.5-1.25"</v>
      </c>
      <c r="E98" s="42" t="str">
        <f ca="1">'Fruit Trees'!E88</f>
        <v>4-8'</v>
      </c>
      <c r="F98" s="52">
        <f ca="1">'Fruit Trees'!F88</f>
        <v>67</v>
      </c>
      <c r="G98" s="53">
        <f ca="1">'Fruit Trees'!G88</f>
        <v>55</v>
      </c>
      <c r="H98" s="51" t="str">
        <f t="shared" ca="1" si="0"/>
        <v>Peach - Harvester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Peach - Redhaven</v>
      </c>
      <c r="C99" s="42" t="str">
        <f ca="1">'Fruit Trees'!C89</f>
        <v>#5</v>
      </c>
      <c r="D99" s="42" t="str">
        <f ca="1">'Fruit Trees'!D89</f>
        <v>0.75-1"</v>
      </c>
      <c r="E99" s="42" t="str">
        <f ca="1">'Fruit Trees'!E89</f>
        <v>4-8'</v>
      </c>
      <c r="F99" s="52">
        <f ca="1">'Fruit Trees'!F89</f>
        <v>1</v>
      </c>
      <c r="G99" s="53">
        <f ca="1">'Fruit Trees'!G89</f>
        <v>55</v>
      </c>
      <c r="H99" s="51" t="str">
        <f t="shared" ca="1" si="0"/>
        <v>Peach - Redhaven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Peach - Redskin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4-5'</v>
      </c>
      <c r="F100" s="52">
        <f ca="1">'Fruit Trees'!F90</f>
        <v>21</v>
      </c>
      <c r="G100" s="53">
        <f ca="1">'Fruit Trees'!G90</f>
        <v>55</v>
      </c>
      <c r="H100" s="51" t="str">
        <f t="shared" ca="1" si="0"/>
        <v>Peach - Redskin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Peach - Sugar May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4-5'</v>
      </c>
      <c r="F101" s="52">
        <f ca="1">'Fruit Trees'!F91</f>
        <v>17</v>
      </c>
      <c r="G101" s="53">
        <f ca="1">'Fruit Trees'!G91</f>
        <v>55</v>
      </c>
      <c r="H101" s="51" t="str">
        <f t="shared" ca="1" si="0"/>
        <v>Peach - Sugar May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Peach (Donut White) - Galaxy</v>
      </c>
      <c r="C102" s="42" t="str">
        <f ca="1">'Fruit Trees'!C92</f>
        <v>#5</v>
      </c>
      <c r="D102" s="42" t="str">
        <f ca="1">'Fruit Trees'!D92</f>
        <v>0.75-1"</v>
      </c>
      <c r="E102" s="42" t="str">
        <f ca="1">'Fruit Trees'!E92</f>
        <v>5-7'</v>
      </c>
      <c r="F102" s="52">
        <f ca="1">'Fruit Trees'!F92</f>
        <v>119</v>
      </c>
      <c r="G102" s="53">
        <f ca="1">'Fruit Trees'!G92</f>
        <v>55</v>
      </c>
      <c r="H102" s="51" t="str">
        <f t="shared" ca="1" si="0"/>
        <v>Peach (Donut White) - Galaxy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Peach (Donut White) - Saturn</v>
      </c>
      <c r="C103" s="42" t="str">
        <f ca="1">'Fruit Trees'!C93</f>
        <v>#5</v>
      </c>
      <c r="D103" s="42" t="str">
        <f ca="1">'Fruit Trees'!D93</f>
        <v>0.75-1"</v>
      </c>
      <c r="E103" s="42" t="str">
        <f ca="1">'Fruit Trees'!E93</f>
        <v>5-9'</v>
      </c>
      <c r="F103" s="52">
        <f ca="1">'Fruit Trees'!F93</f>
        <v>114</v>
      </c>
      <c r="G103" s="53">
        <f ca="1">'Fruit Trees'!G93</f>
        <v>55</v>
      </c>
      <c r="H103" s="51" t="str">
        <f t="shared" ca="1" si="0"/>
        <v>Peach (Donut White) - Saturn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Peach (White) - Snow Giant</v>
      </c>
      <c r="C104" s="42" t="str">
        <f ca="1">'Fruit Trees'!C94</f>
        <v>#5</v>
      </c>
      <c r="D104" s="42" t="str">
        <f ca="1">'Fruit Trees'!D94</f>
        <v>0.75-1"</v>
      </c>
      <c r="E104" s="42" t="str">
        <f ca="1">'Fruit Trees'!E94</f>
        <v>4-6'</v>
      </c>
      <c r="F104" s="52">
        <f ca="1">'Fruit Trees'!F94</f>
        <v>72</v>
      </c>
      <c r="G104" s="53">
        <f ca="1">'Fruit Trees'!G94</f>
        <v>55</v>
      </c>
      <c r="H104" s="51" t="str">
        <f t="shared" ca="1" si="0"/>
        <v>Peach (White) - Snow Giant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Peach (White) - Sugar Giant</v>
      </c>
      <c r="C105" s="42" t="str">
        <f ca="1">'Fruit Trees'!C95</f>
        <v>#5</v>
      </c>
      <c r="D105" s="42" t="str">
        <f ca="1">'Fruit Trees'!D95</f>
        <v>0.75-1"</v>
      </c>
      <c r="E105" s="42" t="str">
        <f ca="1">'Fruit Trees'!E95</f>
        <v>4-6'</v>
      </c>
      <c r="F105" s="52">
        <f ca="1">'Fruit Trees'!F95</f>
        <v>121</v>
      </c>
      <c r="G105" s="53">
        <f ca="1">'Fruit Trees'!G95</f>
        <v>55</v>
      </c>
      <c r="H105" s="51" t="str">
        <f t="shared" ca="1" si="0"/>
        <v>Peach (White) - Sugar Giant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Peach (White) - White Lady</v>
      </c>
      <c r="C106" s="42" t="str">
        <f ca="1">'Fruit Trees'!C96</f>
        <v>#5</v>
      </c>
      <c r="D106" s="42" t="str">
        <f ca="1">'Fruit Trees'!D96</f>
        <v>0.75-1.25"</v>
      </c>
      <c r="E106" s="42" t="str">
        <f ca="1">'Fruit Trees'!E96</f>
        <v>5-8'</v>
      </c>
      <c r="F106" s="52">
        <f ca="1">'Fruit Trees'!F96</f>
        <v>168</v>
      </c>
      <c r="G106" s="53">
        <f ca="1">'Fruit Trees'!G96</f>
        <v>55</v>
      </c>
      <c r="H106" s="51" t="str">
        <f t="shared" ca="1" si="0"/>
        <v>Peach (White) - White Lady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Pear - 4in1 2 Tier Espalier</v>
      </c>
      <c r="C107" s="42" t="str">
        <f ca="1">'Fruit Trees'!C97</f>
        <v>#10</v>
      </c>
      <c r="D107" s="42" t="str">
        <f ca="1">'Fruit Trees'!D97</f>
        <v>0.75-1"</v>
      </c>
      <c r="E107" s="42" t="str">
        <f ca="1">'Fruit Trees'!E97</f>
        <v>4-6'</v>
      </c>
      <c r="F107" s="52">
        <f ca="1">'Fruit Trees'!F97</f>
        <v>2</v>
      </c>
      <c r="G107" s="53">
        <f ca="1">'Fruit Trees'!G97</f>
        <v>150</v>
      </c>
      <c r="H107" s="51" t="str">
        <f t="shared" ca="1" si="0"/>
        <v>Pear - 4in1 2 Tier Espalier #10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Pear - Ayers</v>
      </c>
      <c r="C108" s="42" t="str">
        <f ca="1">'Fruit Trees'!C98</f>
        <v>#5</v>
      </c>
      <c r="D108" s="42" t="str">
        <f ca="1">'Fruit Trees'!D98</f>
        <v>0.75-1"</v>
      </c>
      <c r="E108" s="42" t="str">
        <f ca="1">'Fruit Trees'!E98</f>
        <v>6-9'</v>
      </c>
      <c r="F108" s="52">
        <f ca="1">'Fruit Trees'!F98</f>
        <v>41</v>
      </c>
      <c r="G108" s="53">
        <f ca="1">'Fruit Trees'!G98</f>
        <v>55</v>
      </c>
      <c r="H108" s="51" t="str">
        <f t="shared" ca="1" si="0"/>
        <v>Pear - Ayers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Pear - Ayers</v>
      </c>
      <c r="C109" s="42" t="str">
        <f ca="1">'Fruit Trees'!C99</f>
        <v>#7</v>
      </c>
      <c r="D109" s="42" t="str">
        <f ca="1">'Fruit Trees'!D99</f>
        <v>0.75-1"</v>
      </c>
      <c r="E109" s="42" t="str">
        <f ca="1">'Fruit Trees'!E99</f>
        <v>7-12'</v>
      </c>
      <c r="F109" s="52">
        <f ca="1">'Fruit Trees'!F99</f>
        <v>11</v>
      </c>
      <c r="G109" s="53">
        <f ca="1">'Fruit Trees'!G99</f>
        <v>80</v>
      </c>
      <c r="H109" s="51" t="str">
        <f t="shared" ca="1" si="0"/>
        <v>Pear - Ayers #7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Pear - Bartlett</v>
      </c>
      <c r="C110" s="42" t="str">
        <f ca="1">'Fruit Trees'!C100</f>
        <v>#5</v>
      </c>
      <c r="D110" s="42" t="str">
        <f ca="1">'Fruit Trees'!D100</f>
        <v>0.75-1"</v>
      </c>
      <c r="E110" s="42" t="str">
        <f ca="1">'Fruit Trees'!E100</f>
        <v>6-9'</v>
      </c>
      <c r="F110" s="52">
        <f ca="1">'Fruit Trees'!F100</f>
        <v>40</v>
      </c>
      <c r="G110" s="53">
        <f ca="1">'Fruit Trees'!G100</f>
        <v>55</v>
      </c>
      <c r="H110" s="51" t="str">
        <f t="shared" ca="1" si="0"/>
        <v>Pear - Bartlett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Pear - Bartlett</v>
      </c>
      <c r="C111" s="42" t="str">
        <f ca="1">'Fruit Trees'!C101</f>
        <v>#7</v>
      </c>
      <c r="D111" s="42" t="str">
        <f ca="1">'Fruit Trees'!D101</f>
        <v>0.75-1.25"</v>
      </c>
      <c r="E111" s="42" t="str">
        <f ca="1">'Fruit Trees'!E101</f>
        <v>6-10'</v>
      </c>
      <c r="F111" s="52">
        <f ca="1">'Fruit Trees'!F101</f>
        <v>168</v>
      </c>
      <c r="G111" s="53">
        <f ca="1">'Fruit Trees'!G101</f>
        <v>80</v>
      </c>
      <c r="H111" s="51" t="str">
        <f t="shared" ca="1" si="0"/>
        <v>Pear - Bartlett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Pear - Golden Russet Bosc</v>
      </c>
      <c r="C112" s="42" t="str">
        <f ca="1">'Fruit Trees'!C102</f>
        <v>#5</v>
      </c>
      <c r="D112" s="42" t="str">
        <f ca="1">'Fruit Trees'!D102</f>
        <v>1-1.25"</v>
      </c>
      <c r="E112" s="42" t="str">
        <f ca="1">'Fruit Trees'!E102</f>
        <v>9-10'</v>
      </c>
      <c r="F112" s="52">
        <f ca="1">'Fruit Trees'!F102</f>
        <v>3</v>
      </c>
      <c r="G112" s="53">
        <f ca="1">'Fruit Trees'!G102</f>
        <v>55</v>
      </c>
      <c r="H112" s="51" t="str">
        <f t="shared" ca="1" si="0"/>
        <v>Pear - Golden Russet Bosc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Pear - Golden Russet Bosc</v>
      </c>
      <c r="C113" s="42" t="str">
        <f ca="1">'Fruit Trees'!C103</f>
        <v>#7</v>
      </c>
      <c r="D113" s="42" t="str">
        <f ca="1">'Fruit Trees'!D103</f>
        <v>0.75-1.25"</v>
      </c>
      <c r="E113" s="42" t="str">
        <f ca="1">'Fruit Trees'!E103</f>
        <v>7-11'</v>
      </c>
      <c r="F113" s="52">
        <f ca="1">'Fruit Trees'!F103</f>
        <v>73</v>
      </c>
      <c r="G113" s="53">
        <f ca="1">'Fruit Trees'!G103</f>
        <v>80</v>
      </c>
      <c r="H113" s="51" t="str">
        <f t="shared" ca="1" si="0"/>
        <v>Pear - Golden Russet Bosc #7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Pear - Harrowsweet</v>
      </c>
      <c r="C114" s="42" t="str">
        <f ca="1">'Fruit Trees'!C104</f>
        <v>#5</v>
      </c>
      <c r="D114" s="42" t="str">
        <f ca="1">'Fruit Trees'!D104</f>
        <v>1-1"</v>
      </c>
      <c r="E114" s="42" t="str">
        <f ca="1">'Fruit Trees'!E104</f>
        <v>7-10'</v>
      </c>
      <c r="F114" s="52">
        <f ca="1">'Fruit Trees'!F104</f>
        <v>1</v>
      </c>
      <c r="G114" s="53">
        <f ca="1">'Fruit Trees'!G104</f>
        <v>55</v>
      </c>
      <c r="H114" s="51" t="str">
        <f t="shared" ca="1" si="0"/>
        <v>Pear - Harrowsweet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Pear - Harrowsweet</v>
      </c>
      <c r="C115" s="42" t="str">
        <f ca="1">'Fruit Trees'!C105</f>
        <v>#7</v>
      </c>
      <c r="D115" s="42" t="str">
        <f ca="1">'Fruit Trees'!D105</f>
        <v>0.75-1"</v>
      </c>
      <c r="E115" s="42" t="str">
        <f ca="1">'Fruit Trees'!E105</f>
        <v>8-10'</v>
      </c>
      <c r="F115" s="52">
        <f ca="1">'Fruit Trees'!F105</f>
        <v>59</v>
      </c>
      <c r="G115" s="53">
        <f ca="1">'Fruit Trees'!G105</f>
        <v>80</v>
      </c>
      <c r="H115" s="51" t="str">
        <f t="shared" ca="1" si="0"/>
        <v>Pear - Harrowsweet #7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Pear - Kieffer</v>
      </c>
      <c r="C116" s="42" t="str">
        <f ca="1">'Fruit Trees'!C106</f>
        <v>#5</v>
      </c>
      <c r="D116" s="42" t="str">
        <f ca="1">'Fruit Trees'!D106</f>
        <v>0.75-1"</v>
      </c>
      <c r="E116" s="42" t="str">
        <f ca="1">'Fruit Trees'!E106</f>
        <v>8-10'</v>
      </c>
      <c r="F116" s="52">
        <f ca="1">'Fruit Trees'!F106</f>
        <v>25</v>
      </c>
      <c r="G116" s="53">
        <f ca="1">'Fruit Trees'!G106</f>
        <v>55</v>
      </c>
      <c r="H116" s="51" t="str">
        <f t="shared" ca="1" si="0"/>
        <v>Pear - Kieffer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Pear - Kieffer</v>
      </c>
      <c r="C117" s="42" t="str">
        <f ca="1">'Fruit Trees'!C107</f>
        <v>#7</v>
      </c>
      <c r="D117" s="42" t="str">
        <f ca="1">'Fruit Trees'!D107</f>
        <v>1-1.25"</v>
      </c>
      <c r="E117" s="42" t="str">
        <f ca="1">'Fruit Trees'!E107</f>
        <v>8-10'</v>
      </c>
      <c r="F117" s="52">
        <f ca="1">'Fruit Trees'!F107</f>
        <v>37</v>
      </c>
      <c r="G117" s="53">
        <f ca="1">'Fruit Trees'!G107</f>
        <v>80</v>
      </c>
      <c r="H117" s="51" t="str">
        <f t="shared" ca="1" si="0"/>
        <v>Pear - Kieffer #7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Pear - Kieffer</v>
      </c>
      <c r="C118" s="42" t="str">
        <f ca="1">'Fruit Trees'!C108</f>
        <v>#10</v>
      </c>
      <c r="D118" s="42" t="str">
        <f ca="1">'Fruit Trees'!D108</f>
        <v>1-1.25"</v>
      </c>
      <c r="E118" s="42" t="str">
        <f ca="1">'Fruit Trees'!E108</f>
        <v>8-10'</v>
      </c>
      <c r="F118" s="52">
        <f ca="1">'Fruit Trees'!F108</f>
        <v>11</v>
      </c>
      <c r="G118" s="53">
        <f ca="1">'Fruit Trees'!G108</f>
        <v>100</v>
      </c>
      <c r="H118" s="51" t="str">
        <f t="shared" ca="1" si="0"/>
        <v>Pear - Kieffer #10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Pear - Moonglow</v>
      </c>
      <c r="C119" s="42" t="str">
        <f ca="1">'Fruit Trees'!C109</f>
        <v>#5</v>
      </c>
      <c r="D119" s="42" t="str">
        <f ca="1">'Fruit Trees'!D109</f>
        <v>0.75-1"</v>
      </c>
      <c r="E119" s="42" t="str">
        <f ca="1">'Fruit Trees'!E109</f>
        <v>7-9'</v>
      </c>
      <c r="F119" s="52">
        <f ca="1">'Fruit Trees'!F109</f>
        <v>75</v>
      </c>
      <c r="G119" s="53">
        <f ca="1">'Fruit Trees'!G109</f>
        <v>55</v>
      </c>
      <c r="H119" s="51" t="str">
        <f t="shared" ca="1" si="0"/>
        <v>Pear - Moonglow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Pear - Moonglow</v>
      </c>
      <c r="C120" s="42" t="str">
        <f ca="1">'Fruit Trees'!C110</f>
        <v>#7</v>
      </c>
      <c r="D120" s="42" t="str">
        <f ca="1">'Fruit Trees'!D110</f>
        <v>0.75-1.25"</v>
      </c>
      <c r="E120" s="42" t="str">
        <f ca="1">'Fruit Trees'!E110</f>
        <v>8-9'</v>
      </c>
      <c r="F120" s="52">
        <f ca="1">'Fruit Trees'!F110</f>
        <v>8</v>
      </c>
      <c r="G120" s="53">
        <f ca="1">'Fruit Trees'!G110</f>
        <v>80</v>
      </c>
      <c r="H120" s="51" t="str">
        <f t="shared" ca="1" si="0"/>
        <v>Pear - Moonglow #7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Pear - Potomac</v>
      </c>
      <c r="C121" s="42" t="str">
        <f ca="1">'Fruit Trees'!C111</f>
        <v>#7</v>
      </c>
      <c r="D121" s="42" t="str">
        <f ca="1">'Fruit Trees'!D111</f>
        <v>0.75-1"</v>
      </c>
      <c r="E121" s="42" t="str">
        <f ca="1">'Fruit Trees'!E111</f>
        <v>7-9'</v>
      </c>
      <c r="F121" s="52">
        <f ca="1">'Fruit Trees'!F111</f>
        <v>28</v>
      </c>
      <c r="G121" s="53">
        <f ca="1">'Fruit Trees'!G111</f>
        <v>80</v>
      </c>
      <c r="H121" s="51" t="str">
        <f t="shared" ca="1" si="0"/>
        <v>Pear - Potomac #7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Persimmon - Chocolate</v>
      </c>
      <c r="C122" s="42" t="str">
        <f ca="1">'Fruit Trees'!C112</f>
        <v>#5</v>
      </c>
      <c r="D122" s="42" t="str">
        <f ca="1">'Fruit Trees'!D112</f>
        <v>0.75-1"</v>
      </c>
      <c r="E122" s="42" t="str">
        <f ca="1">'Fruit Trees'!E112</f>
        <v>4.5-6.5'</v>
      </c>
      <c r="F122" s="52">
        <f ca="1">'Fruit Trees'!F112</f>
        <v>8</v>
      </c>
      <c r="G122" s="53">
        <f ca="1">'Fruit Trees'!G112</f>
        <v>100</v>
      </c>
      <c r="H122" s="51" t="str">
        <f t="shared" ca="1" si="0"/>
        <v>Persimmon - Chocolate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Persimmon - Fuyu</v>
      </c>
      <c r="C123" s="42" t="str">
        <f ca="1">'Fruit Trees'!C113</f>
        <v>#5</v>
      </c>
      <c r="D123" s="42" t="str">
        <f ca="1">'Fruit Trees'!D113</f>
        <v>0.5-1"</v>
      </c>
      <c r="E123" s="42" t="str">
        <f ca="1">'Fruit Trees'!E113</f>
        <v>4-8'</v>
      </c>
      <c r="F123" s="52">
        <f ca="1">'Fruit Trees'!F113</f>
        <v>155</v>
      </c>
      <c r="G123" s="53">
        <f ca="1">'Fruit Trees'!G113</f>
        <v>100</v>
      </c>
      <c r="H123" s="51" t="str">
        <f t="shared" ca="1" si="0"/>
        <v>Persimmon - Fuyu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Persimmon - Fuyu</v>
      </c>
      <c r="C124" s="42" t="str">
        <f ca="1">'Fruit Trees'!C114</f>
        <v>#7</v>
      </c>
      <c r="D124" s="42" t="str">
        <f ca="1">'Fruit Trees'!D114</f>
        <v>0.75-1"</v>
      </c>
      <c r="E124" s="42" t="str">
        <f ca="1">'Fruit Trees'!E114</f>
        <v>5-8'</v>
      </c>
      <c r="F124" s="52">
        <f ca="1">'Fruit Trees'!F114</f>
        <v>3</v>
      </c>
      <c r="G124" s="53">
        <f ca="1">'Fruit Trees'!G114</f>
        <v>100</v>
      </c>
      <c r="H124" s="51" t="str">
        <f t="shared" ca="1" si="0"/>
        <v>Persimmon - Fuyu #7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Persimmon - Giant Fuyu</v>
      </c>
      <c r="C125" s="42" t="str">
        <f ca="1">'Fruit Trees'!C115</f>
        <v>#5</v>
      </c>
      <c r="D125" s="42" t="str">
        <f ca="1">'Fruit Trees'!D115</f>
        <v>0.5-1"</v>
      </c>
      <c r="E125" s="42" t="str">
        <f ca="1">'Fruit Trees'!E115</f>
        <v>4-8'</v>
      </c>
      <c r="F125" s="52">
        <f ca="1">'Fruit Trees'!F115</f>
        <v>112</v>
      </c>
      <c r="G125" s="53">
        <f ca="1">'Fruit Trees'!G115</f>
        <v>100</v>
      </c>
      <c r="H125" s="51" t="str">
        <f t="shared" ca="1" si="0"/>
        <v>Persimmon - Giant Fuyu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Persimmon - Hachiya</v>
      </c>
      <c r="C126" s="42" t="str">
        <f ca="1">'Fruit Trees'!C116</f>
        <v>#5</v>
      </c>
      <c r="D126" s="42" t="str">
        <f ca="1">'Fruit Trees'!D116</f>
        <v>0.5-1"</v>
      </c>
      <c r="E126" s="42" t="str">
        <f ca="1">'Fruit Trees'!E116</f>
        <v>3.5-7'</v>
      </c>
      <c r="F126" s="52">
        <f ca="1">'Fruit Trees'!F116</f>
        <v>47</v>
      </c>
      <c r="G126" s="53">
        <f ca="1">'Fruit Trees'!G116</f>
        <v>100</v>
      </c>
      <c r="H126" s="51" t="str">
        <f t="shared" ca="1" si="0"/>
        <v>Persimmon - Hachiya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Persimmon - Nikita's Gift</v>
      </c>
      <c r="C127" s="42" t="str">
        <f ca="1">'Fruit Trees'!C117</f>
        <v>#7</v>
      </c>
      <c r="D127" s="42" t="str">
        <f ca="1">'Fruit Trees'!D117</f>
        <v>0.5-0.75"</v>
      </c>
      <c r="E127" s="42" t="str">
        <f ca="1">'Fruit Trees'!E117</f>
        <v>3-4'</v>
      </c>
      <c r="F127" s="52">
        <f ca="1">'Fruit Trees'!F117</f>
        <v>9</v>
      </c>
      <c r="G127" s="53">
        <f ca="1">'Fruit Trees'!G117</f>
        <v>100</v>
      </c>
      <c r="H127" s="51" t="str">
        <f t="shared" ca="1" si="0"/>
        <v>Persimmon - Nikita's Gift #7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Persimmon - Prok</v>
      </c>
      <c r="C128" s="42" t="str">
        <f ca="1">'Fruit Trees'!C118</f>
        <v>#7</v>
      </c>
      <c r="D128" s="42" t="str">
        <f ca="1">'Fruit Trees'!D118</f>
        <v>0.5-0.75"</v>
      </c>
      <c r="E128" s="42" t="str">
        <f ca="1">'Fruit Trees'!E118</f>
        <v>2-3'</v>
      </c>
      <c r="F128" s="52">
        <f ca="1">'Fruit Trees'!F118</f>
        <v>4</v>
      </c>
      <c r="G128" s="53">
        <f ca="1">'Fruit Trees'!G118</f>
        <v>100</v>
      </c>
      <c r="H128" s="51" t="str">
        <f t="shared" ca="1" si="0"/>
        <v>Persimmon - Prok #7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Persimmon - Rosseyanka</v>
      </c>
      <c r="C129" s="42" t="str">
        <f ca="1">'Fruit Trees'!C119</f>
        <v>#7</v>
      </c>
      <c r="D129" s="42" t="str">
        <f ca="1">'Fruit Trees'!D119</f>
        <v>0.5-1"</v>
      </c>
      <c r="E129" s="42" t="str">
        <f ca="1">'Fruit Trees'!E119</f>
        <v>3-7'</v>
      </c>
      <c r="F129" s="52">
        <f ca="1">'Fruit Trees'!F119</f>
        <v>29</v>
      </c>
      <c r="G129" s="53">
        <f ca="1">'Fruit Trees'!G119</f>
        <v>100</v>
      </c>
      <c r="H129" s="51" t="str">
        <f t="shared" ca="1" si="0"/>
        <v>Persimmon - Rosseyanka #7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Plum - Black Ice</v>
      </c>
      <c r="C130" s="42" t="str">
        <f ca="1">'Fruit Trees'!C120</f>
        <v>#5</v>
      </c>
      <c r="D130" s="42" t="str">
        <f ca="1">'Fruit Trees'!D120</f>
        <v>1-1.25"</v>
      </c>
      <c r="E130" s="42" t="str">
        <f ca="1">'Fruit Trees'!E120</f>
        <v>5-8'</v>
      </c>
      <c r="F130" s="52">
        <f ca="1">'Fruit Trees'!F120</f>
        <v>18</v>
      </c>
      <c r="G130" s="53">
        <f ca="1">'Fruit Trees'!G120</f>
        <v>80</v>
      </c>
      <c r="H130" s="51" t="str">
        <f t="shared" ca="1" si="0"/>
        <v>Plum - Black Ice #5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Plum - Black Ice</v>
      </c>
      <c r="C131" s="42" t="str">
        <f ca="1">'Fruit Trees'!C121</f>
        <v>#7</v>
      </c>
      <c r="D131" s="42" t="str">
        <f ca="1">'Fruit Trees'!D121</f>
        <v>1-1.25"</v>
      </c>
      <c r="E131" s="42" t="str">
        <f ca="1">'Fruit Trees'!E121</f>
        <v>6-8'</v>
      </c>
      <c r="F131" s="52">
        <f ca="1">'Fruit Trees'!F121</f>
        <v>7</v>
      </c>
      <c r="G131" s="53">
        <f ca="1">'Fruit Trees'!G121</f>
        <v>80</v>
      </c>
      <c r="H131" s="51" t="str">
        <f t="shared" ca="1" si="0"/>
        <v>Plum - Black Ice #7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Plum - Green Gage</v>
      </c>
      <c r="C132" s="42" t="str">
        <f ca="1">'Fruit Trees'!C122</f>
        <v>#5</v>
      </c>
      <c r="D132" s="42" t="str">
        <f ca="1">'Fruit Trees'!D122</f>
        <v>1-1.25"</v>
      </c>
      <c r="E132" s="42" t="str">
        <f ca="1">'Fruit Trees'!E122</f>
        <v>6-9'</v>
      </c>
      <c r="F132" s="52">
        <f ca="1">'Fruit Trees'!F122</f>
        <v>1</v>
      </c>
      <c r="G132" s="53">
        <f ca="1">'Fruit Trees'!G122</f>
        <v>80</v>
      </c>
      <c r="H132" s="51" t="str">
        <f t="shared" ca="1" si="0"/>
        <v>Plum - Green Gage #5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Plum - Green Gage</v>
      </c>
      <c r="C133" s="42" t="str">
        <f ca="1">'Fruit Trees'!C123</f>
        <v>#7</v>
      </c>
      <c r="D133" s="42" t="str">
        <f ca="1">'Fruit Trees'!D123</f>
        <v>1.25-1.5"</v>
      </c>
      <c r="E133" s="42" t="str">
        <f ca="1">'Fruit Trees'!E123</f>
        <v>7-10'</v>
      </c>
      <c r="F133" s="52">
        <f ca="1">'Fruit Trees'!F123</f>
        <v>22</v>
      </c>
      <c r="G133" s="53">
        <f ca="1">'Fruit Trees'!G123</f>
        <v>80</v>
      </c>
      <c r="H133" s="51" t="str">
        <f t="shared" ca="1" si="0"/>
        <v>Plum - Green Gage #7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Plum - Methley</v>
      </c>
      <c r="C134" s="42" t="str">
        <f ca="1">'Fruit Trees'!C124</f>
        <v>#5</v>
      </c>
      <c r="D134" s="42" t="str">
        <f ca="1">'Fruit Trees'!D124</f>
        <v>1.25-1.5"</v>
      </c>
      <c r="E134" s="42" t="str">
        <f ca="1">'Fruit Trees'!E124</f>
        <v>9-11'</v>
      </c>
      <c r="F134" s="52">
        <f ca="1">'Fruit Trees'!F124</f>
        <v>131</v>
      </c>
      <c r="G134" s="53">
        <f ca="1">'Fruit Trees'!G124</f>
        <v>55</v>
      </c>
      <c r="H134" s="51" t="str">
        <f t="shared" ca="1" si="0"/>
        <v>Plum - Methley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Plum - Methley</v>
      </c>
      <c r="C135" s="42" t="str">
        <f ca="1">'Fruit Trees'!C125</f>
        <v>#7</v>
      </c>
      <c r="D135" s="42" t="str">
        <f ca="1">'Fruit Trees'!D125</f>
        <v>1.5-1.75"</v>
      </c>
      <c r="E135" s="42" t="str">
        <f ca="1">'Fruit Trees'!E125</f>
        <v>10-13'</v>
      </c>
      <c r="F135" s="52">
        <f ca="1">'Fruit Trees'!F125</f>
        <v>29</v>
      </c>
      <c r="G135" s="53">
        <f ca="1">'Fruit Trees'!G125</f>
        <v>80</v>
      </c>
      <c r="H135" s="51" t="str">
        <f t="shared" ca="1" si="0"/>
        <v>Plum - Methley #7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Plum - NY9</v>
      </c>
      <c r="C136" s="42" t="str">
        <f ca="1">'Fruit Trees'!C126</f>
        <v>#5</v>
      </c>
      <c r="D136" s="42" t="str">
        <f ca="1">'Fruit Trees'!D126</f>
        <v>0.75-1"</v>
      </c>
      <c r="E136" s="42" t="str">
        <f ca="1">'Fruit Trees'!E126</f>
        <v>8-10'</v>
      </c>
      <c r="F136" s="52">
        <f ca="1">'Fruit Trees'!F126</f>
        <v>36</v>
      </c>
      <c r="G136" s="53">
        <f ca="1">'Fruit Trees'!G126</f>
        <v>80</v>
      </c>
      <c r="H136" s="51" t="str">
        <f t="shared" ca="1" si="0"/>
        <v>Plum - NY9 #5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Plum - NY9</v>
      </c>
      <c r="C137" s="42" t="str">
        <f ca="1">'Fruit Trees'!C127</f>
        <v>#7</v>
      </c>
      <c r="D137" s="42" t="str">
        <f ca="1">'Fruit Trees'!D127</f>
        <v>1-1.25"</v>
      </c>
      <c r="E137" s="42" t="str">
        <f ca="1">'Fruit Trees'!E127</f>
        <v>8-10'</v>
      </c>
      <c r="F137" s="52">
        <f ca="1">'Fruit Trees'!F127</f>
        <v>60</v>
      </c>
      <c r="G137" s="53">
        <f ca="1">'Fruit Trees'!G127</f>
        <v>80</v>
      </c>
      <c r="H137" s="51" t="str">
        <f t="shared" ca="1" si="0"/>
        <v>Plum - NY9 #7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Raspberry - Royalty (Purple)</v>
      </c>
      <c r="C138" s="42" t="str">
        <f ca="1">'Fruit Trees'!C128</f>
        <v>#5</v>
      </c>
      <c r="D138" s="42" t="str">
        <f ca="1">'Fruit Trees'!D128</f>
        <v>Multi</v>
      </c>
      <c r="E138" s="42" t="str">
        <f ca="1">'Fruit Trees'!E128</f>
        <v>4-6.5'</v>
      </c>
      <c r="F138" s="52">
        <f ca="1">'Fruit Trees'!F128</f>
        <v>46</v>
      </c>
      <c r="G138" s="53">
        <f ca="1">'Fruit Trees'!G128</f>
        <v>35</v>
      </c>
      <c r="H138" s="51" t="str">
        <f t="shared" ca="1" si="0"/>
        <v>Raspberry - Royalty (Purple) #5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Raspberry (Yellow) - Anne</v>
      </c>
      <c r="C139" s="42" t="str">
        <f ca="1">'Fruit Trees'!C129</f>
        <v>#5</v>
      </c>
      <c r="D139" s="42" t="str">
        <f ca="1">'Fruit Trees'!D129</f>
        <v>Multi</v>
      </c>
      <c r="E139" s="42" t="str">
        <f ca="1">'Fruit Trees'!E129</f>
        <v>3-5'</v>
      </c>
      <c r="F139" s="52">
        <f ca="1">'Fruit Trees'!F129</f>
        <v>32</v>
      </c>
      <c r="G139" s="53">
        <f ca="1">'Fruit Trees'!G129</f>
        <v>35</v>
      </c>
      <c r="H139" s="51" t="str">
        <f t="shared" ca="1" si="0"/>
        <v>Raspberry (Yellow) - Anne #5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Russian Pomegrante - Salavatski</v>
      </c>
      <c r="C140" s="42" t="str">
        <f ca="1">'Fruit Trees'!C130</f>
        <v>#5</v>
      </c>
      <c r="D140" s="42" t="str">
        <f ca="1">'Fruit Trees'!D130</f>
        <v>Multi</v>
      </c>
      <c r="E140" s="42" t="str">
        <f ca="1">'Fruit Trees'!E130</f>
        <v>1-2'</v>
      </c>
      <c r="F140" s="52">
        <f ca="1">'Fruit Trees'!F130</f>
        <v>79</v>
      </c>
      <c r="G140" s="53">
        <f ca="1">'Fruit Trees'!G130</f>
        <v>35</v>
      </c>
      <c r="H140" s="51" t="str">
        <f t="shared" ca="1" si="0"/>
        <v>Russian Pomegrante - Salavatski #5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Stone Fruits - Misshapen/Damaged Trees (Discounted)</v>
      </c>
      <c r="C141" s="42" t="str">
        <f ca="1">'Fruit Trees'!C131</f>
        <v>#5</v>
      </c>
      <c r="D141" s="42" t="str">
        <f ca="1">'Fruit Trees'!D131</f>
        <v>0-0"</v>
      </c>
      <c r="E141" s="42" t="str">
        <f ca="1">'Fruit Trees'!E131</f>
        <v>0-0'</v>
      </c>
      <c r="F141" s="52">
        <f ca="1">'Fruit Trees'!F131</f>
        <v>213</v>
      </c>
      <c r="G141" s="53">
        <f ca="1">'Fruit Trees'!G131</f>
        <v>30</v>
      </c>
      <c r="H141" s="51" t="str">
        <f t="shared" ca="1" si="0"/>
        <v>Stone Fruits - Misshapen/Damaged Trees (Discounted)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zx - 1.5"x1.5"x6' Stakes</v>
      </c>
      <c r="C142" s="42">
        <f>'Fruit Trees'!C132</f>
        <v>0</v>
      </c>
      <c r="D142" s="42" t="str">
        <f ca="1">'Fruit Trees'!D132</f>
        <v>0-0"</v>
      </c>
      <c r="E142" s="42" t="str">
        <f ca="1">'Fruit Trees'!E132</f>
        <v>0-0'</v>
      </c>
      <c r="F142" s="52">
        <f ca="1">'Fruit Trees'!F132</f>
        <v>863</v>
      </c>
      <c r="G142" s="53">
        <f ca="1">'Fruit Trees'!G132</f>
        <v>3</v>
      </c>
      <c r="H142" s="51" t="str">
        <f t="shared" ca="1" si="0"/>
        <v>zx - 1.5"x1.5"x6' Stakes 0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zx - 10' Orchard Ladder (extendable leg)</v>
      </c>
      <c r="C143" s="42">
        <f>'Fruit Trees'!C133</f>
        <v>0</v>
      </c>
      <c r="D143" s="42" t="str">
        <f ca="1">'Fruit Trees'!D133</f>
        <v>0-0"</v>
      </c>
      <c r="E143" s="42" t="str">
        <f ca="1">'Fruit Trees'!E133</f>
        <v>0-0'</v>
      </c>
      <c r="F143" s="52">
        <f ca="1">'Fruit Trees'!F133</f>
        <v>14</v>
      </c>
      <c r="G143" s="53">
        <f ca="1">'Fruit Trees'!G133</f>
        <v>500</v>
      </c>
      <c r="H143" s="51" t="str">
        <f t="shared" ca="1" si="0"/>
        <v>zx - 10' Orchard Ladder (extendable leg) 0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zx - 10' Orchard Ladder (fixed)</v>
      </c>
      <c r="C144" s="42">
        <f>'Fruit Trees'!C134</f>
        <v>0</v>
      </c>
      <c r="D144" s="42" t="str">
        <f ca="1">'Fruit Trees'!D134</f>
        <v>0-0"</v>
      </c>
      <c r="E144" s="42" t="str">
        <f ca="1">'Fruit Trees'!E134</f>
        <v>0-0'</v>
      </c>
      <c r="F144" s="52">
        <f ca="1">'Fruit Trees'!F134</f>
        <v>3</v>
      </c>
      <c r="G144" s="53">
        <f ca="1">'Fruit Trees'!G134</f>
        <v>435</v>
      </c>
      <c r="H144" s="51" t="str">
        <f t="shared" ca="1" si="0"/>
        <v>zx - 10' Orchard Ladder (fixed) 0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zx - 12' Orchard Ladder (extendable leg)</v>
      </c>
      <c r="C145" s="42">
        <f>'Fruit Trees'!C135</f>
        <v>0</v>
      </c>
      <c r="D145" s="42" t="str">
        <f ca="1">'Fruit Trees'!D135</f>
        <v>0-0"</v>
      </c>
      <c r="E145" s="42" t="str">
        <f ca="1">'Fruit Trees'!E135</f>
        <v>0-0'</v>
      </c>
      <c r="F145" s="52">
        <f ca="1">'Fruit Trees'!F135</f>
        <v>2</v>
      </c>
      <c r="G145" s="53">
        <f ca="1">'Fruit Trees'!G135</f>
        <v>560</v>
      </c>
      <c r="H145" s="51" t="str">
        <f t="shared" ca="1" si="0"/>
        <v>zx - 12' Orchard Ladder (extendable leg) 0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zx - 14' Orchard Ladder (extendable)</v>
      </c>
      <c r="C146" s="42">
        <f>'Fruit Trees'!C136</f>
        <v>0</v>
      </c>
      <c r="D146" s="42" t="str">
        <f ca="1">'Fruit Trees'!D136</f>
        <v>0-0"</v>
      </c>
      <c r="E146" s="42" t="str">
        <f ca="1">'Fruit Trees'!E136</f>
        <v>0-0'</v>
      </c>
      <c r="F146" s="52">
        <f ca="1">'Fruit Trees'!F136</f>
        <v>9</v>
      </c>
      <c r="G146" s="53">
        <f ca="1">'Fruit Trees'!G136</f>
        <v>620</v>
      </c>
      <c r="H146" s="51" t="str">
        <f t="shared" ca="1" si="0"/>
        <v>zx - 14' Orchard Ladder (extendable) 0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zx - 16' Orchard Ladder (extendable)</v>
      </c>
      <c r="C147" s="42">
        <f>'Fruit Trees'!C137</f>
        <v>0</v>
      </c>
      <c r="D147" s="42" t="str">
        <f ca="1">'Fruit Trees'!D137</f>
        <v>0-0"</v>
      </c>
      <c r="E147" s="42" t="str">
        <f ca="1">'Fruit Trees'!E137</f>
        <v>0-0'</v>
      </c>
      <c r="F147" s="52">
        <f ca="1">'Fruit Trees'!F137</f>
        <v>1</v>
      </c>
      <c r="G147" s="53">
        <f ca="1">'Fruit Trees'!G137</f>
        <v>685</v>
      </c>
      <c r="H147" s="51" t="str">
        <f t="shared" ca="1" si="0"/>
        <v>zx - 16' Orchard Ladder (extendable) 0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zx - 16' Orchard Ladder (fixed)</v>
      </c>
      <c r="C148" s="42">
        <f>'Fruit Trees'!C138</f>
        <v>0</v>
      </c>
      <c r="D148" s="42" t="str">
        <f ca="1">'Fruit Trees'!D138</f>
        <v>0-0"</v>
      </c>
      <c r="E148" s="42" t="str">
        <f ca="1">'Fruit Trees'!E138</f>
        <v>0-0'</v>
      </c>
      <c r="F148" s="52">
        <f ca="1">'Fruit Trees'!F138</f>
        <v>5</v>
      </c>
      <c r="G148" s="53">
        <f ca="1">'Fruit Trees'!G138</f>
        <v>600</v>
      </c>
      <c r="H148" s="51" t="str">
        <f t="shared" ca="1" si="0"/>
        <v>zx - 16' Orchard Ladder (fixed) 0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zx - 4' Bark Protector</v>
      </c>
      <c r="C149" s="42">
        <f>'Fruit Trees'!C139</f>
        <v>0</v>
      </c>
      <c r="D149" s="42" t="str">
        <f ca="1">'Fruit Trees'!D139</f>
        <v>0-0"</v>
      </c>
      <c r="E149" s="42" t="str">
        <f ca="1">'Fruit Trees'!E139</f>
        <v>0-0'</v>
      </c>
      <c r="F149" s="52">
        <f ca="1">'Fruit Trees'!F139</f>
        <v>876</v>
      </c>
      <c r="G149" s="53">
        <f ca="1">'Fruit Trees'!G139</f>
        <v>10</v>
      </c>
      <c r="H149" s="51" t="str">
        <f t="shared" ca="1" si="0"/>
        <v>zx - 4' Bark Protector 0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zx - 6' Orchard Ladder (extendable leg)</v>
      </c>
      <c r="C150" s="42">
        <f>'Fruit Trees'!C140</f>
        <v>0</v>
      </c>
      <c r="D150" s="42" t="str">
        <f ca="1">'Fruit Trees'!D140</f>
        <v>0-0"</v>
      </c>
      <c r="E150" s="42" t="str">
        <f ca="1">'Fruit Trees'!E140</f>
        <v>0-0'</v>
      </c>
      <c r="F150" s="52">
        <f ca="1">'Fruit Trees'!F140</f>
        <v>2</v>
      </c>
      <c r="G150" s="53">
        <f ca="1">'Fruit Trees'!G140</f>
        <v>400</v>
      </c>
      <c r="H150" s="51" t="str">
        <f t="shared" ca="1" si="0"/>
        <v>zx - 6' Orchard Ladder (extendable leg) 0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zx - 8' Orchard Ladder (extendable leg)</v>
      </c>
      <c r="C151" s="42">
        <f>'Fruit Trees'!C141</f>
        <v>0</v>
      </c>
      <c r="D151" s="42" t="str">
        <f ca="1">'Fruit Trees'!D141</f>
        <v>0-0"</v>
      </c>
      <c r="E151" s="42" t="str">
        <f ca="1">'Fruit Trees'!E141</f>
        <v>0-0'</v>
      </c>
      <c r="F151" s="52">
        <f ca="1">'Fruit Trees'!F141</f>
        <v>5</v>
      </c>
      <c r="G151" s="53">
        <f ca="1">'Fruit Trees'!G141</f>
        <v>450</v>
      </c>
      <c r="H151" s="51" t="str">
        <f t="shared" ca="1" si="0"/>
        <v>zx - 8' Orchard Ladder (extendable leg) 0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zx - Felco #2 Pruners</v>
      </c>
      <c r="C152" s="42">
        <f>'Fruit Trees'!C142</f>
        <v>0</v>
      </c>
      <c r="D152" s="42" t="str">
        <f ca="1">'Fruit Trees'!D142</f>
        <v>0-0"</v>
      </c>
      <c r="E152" s="42" t="str">
        <f ca="1">'Fruit Trees'!E142</f>
        <v>0-0'</v>
      </c>
      <c r="F152" s="52">
        <f ca="1">'Fruit Trees'!F142</f>
        <v>49</v>
      </c>
      <c r="G152" s="53">
        <f ca="1">'Fruit Trees'!G142</f>
        <v>65</v>
      </c>
      <c r="H152" s="51" t="str">
        <f t="shared" ca="1" si="0"/>
        <v>zx - Felco #2 Pruners 0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zx -Cages</v>
      </c>
      <c r="C153" s="42">
        <f>'Fruit Trees'!C143</f>
        <v>0</v>
      </c>
      <c r="D153" s="42" t="str">
        <f ca="1">'Fruit Trees'!D143</f>
        <v>0-0"</v>
      </c>
      <c r="E153" s="42" t="str">
        <f ca="1">'Fruit Trees'!E143</f>
        <v>0-0'</v>
      </c>
      <c r="F153" s="52">
        <f ca="1">'Fruit Trees'!F143</f>
        <v>981</v>
      </c>
      <c r="G153" s="53">
        <f ca="1">'Fruit Trees'!G143</f>
        <v>45</v>
      </c>
      <c r="H153" s="51" t="str">
        <f t="shared" ca="1" si="0"/>
        <v>zx -Cages 0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zx -Shade Tarp</v>
      </c>
      <c r="C154" s="42">
        <f>'Fruit Trees'!C144</f>
        <v>0</v>
      </c>
      <c r="D154" s="42" t="str">
        <f ca="1">'Fruit Trees'!D144</f>
        <v>0-0"</v>
      </c>
      <c r="E154" s="42" t="str">
        <f ca="1">'Fruit Trees'!E144</f>
        <v>0-0'</v>
      </c>
      <c r="F154" s="52">
        <f ca="1">'Fruit Trees'!F144</f>
        <v>9</v>
      </c>
      <c r="G154" s="53">
        <f ca="1">'Fruit Trees'!G144</f>
        <v>30</v>
      </c>
      <c r="H154" s="51" t="str">
        <f t="shared" ca="1" si="0"/>
        <v>zx -Shade Tarp 0</v>
      </c>
      <c r="I154" s="54"/>
      <c r="J154" s="55">
        <f t="shared" ca="1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12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16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31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17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'Emperor I'</v>
      </c>
      <c r="B187" s="51" t="str">
        <f ca="1">'Landscape Trees '!C6</f>
        <v>Emperor I Japanese Maple</v>
      </c>
      <c r="C187" s="42" t="str">
        <f ca="1">'Landscape Trees '!D6</f>
        <v>#5</v>
      </c>
      <c r="D187" s="42" t="str">
        <f ca="1">'Landscape Trees '!E6</f>
        <v>0.5-0.75"</v>
      </c>
      <c r="E187" s="42" t="str">
        <f ca="1">'Landscape Trees '!F6</f>
        <v>5-6'</v>
      </c>
      <c r="F187" s="52">
        <f ca="1">'Landscape Trees '!G6</f>
        <v>6</v>
      </c>
      <c r="G187" s="53">
        <f ca="1">'Landscape Trees '!H6</f>
        <v>70</v>
      </c>
      <c r="H187" s="51" t="str">
        <f t="shared" ca="1" si="0"/>
        <v>Emperor I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'Tamukeyama'</v>
      </c>
      <c r="B188" s="51" t="str">
        <f ca="1">'Landscape Trees '!C7</f>
        <v>Tamukeyama Japanese Maple</v>
      </c>
      <c r="C188" s="42" t="str">
        <f ca="1">'Landscape Trees '!D7</f>
        <v>#5</v>
      </c>
      <c r="D188" s="42" t="str">
        <f ca="1">'Landscape Trees '!E7</f>
        <v>0.25-0.75"</v>
      </c>
      <c r="E188" s="42" t="str">
        <f ca="1">'Landscape Trees '!F7</f>
        <v>3.5-4'</v>
      </c>
      <c r="F188" s="52">
        <f ca="1">'Landscape Trees '!G7</f>
        <v>8</v>
      </c>
      <c r="G188" s="53">
        <f ca="1">'Landscape Trees '!H7</f>
        <v>70</v>
      </c>
      <c r="H188" s="51" t="str">
        <f t="shared" ca="1" si="0"/>
        <v>Tamukeyama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platanoides 'Crimson King'</v>
      </c>
      <c r="B189" s="51" t="str">
        <f ca="1">'Landscape Trees '!C8</f>
        <v>Crimson King Norway Maple</v>
      </c>
      <c r="C189" s="42" t="str">
        <f ca="1">'Landscape Trees '!D8</f>
        <v>#15</v>
      </c>
      <c r="D189" s="42" t="str">
        <f ca="1">'Landscape Trees '!E8</f>
        <v>1.25-1.75"</v>
      </c>
      <c r="E189" s="42" t="str">
        <f ca="1">'Landscape Trees '!F8</f>
        <v>9-10'</v>
      </c>
      <c r="F189" s="52">
        <f ca="1">'Landscape Trees '!G8</f>
        <v>17</v>
      </c>
      <c r="G189" s="53">
        <f ca="1">'Landscape Trees '!H8</f>
        <v>135</v>
      </c>
      <c r="H189" s="51" t="str">
        <f t="shared" ca="1" si="0"/>
        <v>Crimson King Norway Maple #15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#25</v>
      </c>
      <c r="D190" s="42" t="str">
        <f ca="1">'Landscape Trees '!E9</f>
        <v>1.75-1.75"</v>
      </c>
      <c r="E190" s="42" t="str">
        <f ca="1">'Landscape Trees '!F9</f>
        <v>13.5-13.5'</v>
      </c>
      <c r="F190" s="52">
        <f ca="1">'Landscape Trees '!G9</f>
        <v>1</v>
      </c>
      <c r="G190" s="53">
        <f ca="1">'Landscape Trees '!H9</f>
        <v>150</v>
      </c>
      <c r="H190" s="51" t="str">
        <f t="shared" ca="1" si="0"/>
        <v>Crimson King Norway Maple #25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'Silver Variegated'</v>
      </c>
      <c r="B191" s="51" t="str">
        <f ca="1">'Landscape Trees '!C10</f>
        <v>Silver Variegated Norway Maple</v>
      </c>
      <c r="C191" s="42" t="str">
        <f ca="1">'Landscape Trees '!D10</f>
        <v>#15</v>
      </c>
      <c r="D191" s="42" t="str">
        <f ca="1">'Landscape Trees '!E10</f>
        <v>1.25-1.25"</v>
      </c>
      <c r="E191" s="42" t="str">
        <f ca="1">'Landscape Trees '!F10</f>
        <v>9-9'</v>
      </c>
      <c r="F191" s="52">
        <f ca="1">'Landscape Trees '!G10</f>
        <v>1</v>
      </c>
      <c r="G191" s="53">
        <f ca="1">'Landscape Trees '!H10</f>
        <v>135</v>
      </c>
      <c r="H191" s="51" t="str">
        <f t="shared" ca="1" si="0"/>
        <v>Silver Variegated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</v>
      </c>
      <c r="B192" s="51" t="str">
        <f ca="1">'Landscape Trees '!C11</f>
        <v>Red Maple Native</v>
      </c>
      <c r="C192" s="42" t="str">
        <f ca="1">'Landscape Trees '!D11</f>
        <v>#5</v>
      </c>
      <c r="D192" s="42" t="str">
        <f ca="1">'Landscape Trees '!E11</f>
        <v>0.25-0.75"</v>
      </c>
      <c r="E192" s="42" t="str">
        <f ca="1">'Landscape Trees '!F11</f>
        <v>3-7'</v>
      </c>
      <c r="F192" s="52">
        <f ca="1">'Landscape Trees '!G11</f>
        <v>236</v>
      </c>
      <c r="G192" s="53">
        <f ca="1">'Landscape Trees '!H11</f>
        <v>50</v>
      </c>
      <c r="H192" s="51" t="str">
        <f t="shared" ca="1" si="0"/>
        <v>Red Maple Native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Cultivar</v>
      </c>
      <c r="C193" s="42" t="str">
        <f ca="1">'Landscape Trees '!D12</f>
        <v>#15</v>
      </c>
      <c r="D193" s="42" t="str">
        <f ca="1">'Landscape Trees '!E12</f>
        <v>1-1.5"</v>
      </c>
      <c r="E193" s="42" t="str">
        <f ca="1">'Landscape Trees '!F12</f>
        <v>8-12'</v>
      </c>
      <c r="F193" s="52">
        <f ca="1">'Landscape Trees '!G12</f>
        <v>38</v>
      </c>
      <c r="G193" s="53">
        <f ca="1">'Landscape Trees '!H12</f>
        <v>135</v>
      </c>
      <c r="H193" s="51" t="str">
        <f t="shared" ca="1" si="0"/>
        <v>Red Maple Cultivar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 xml:space="preserve">Acer rubrum </v>
      </c>
      <c r="B194" s="51" t="str">
        <f ca="1">'Landscape Trees '!C13</f>
        <v>Red Maple Cultivar</v>
      </c>
      <c r="C194" s="42" t="str">
        <f ca="1">'Landscape Trees '!D13</f>
        <v>#5</v>
      </c>
      <c r="D194" s="42" t="str">
        <f ca="1">'Landscape Trees '!E13</f>
        <v>0.5-0.75"</v>
      </c>
      <c r="E194" s="42" t="str">
        <f ca="1">'Landscape Trees '!F13</f>
        <v>4-6'</v>
      </c>
      <c r="F194" s="52">
        <f ca="1">'Landscape Trees '!G13</f>
        <v>21</v>
      </c>
      <c r="G194" s="53">
        <f ca="1">'Landscape Trees '!H13</f>
        <v>50</v>
      </c>
      <c r="H194" s="51" t="str">
        <f t="shared" ca="1" si="0"/>
        <v>Red Maple Cultivar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 'Armstrong'</v>
      </c>
      <c r="B195" s="51" t="str">
        <f ca="1">'Landscape Trees '!C14</f>
        <v>Armstrong Red Maple</v>
      </c>
      <c r="C195" s="42" t="str">
        <f ca="1">'Landscape Trees '!D14</f>
        <v>#15</v>
      </c>
      <c r="D195" s="42" t="str">
        <f ca="1">'Landscape Trees '!E14</f>
        <v>1.5-1.75"</v>
      </c>
      <c r="E195" s="42" t="str">
        <f ca="1">'Landscape Trees '!F14</f>
        <v>12-14'</v>
      </c>
      <c r="F195" s="52">
        <f ca="1">'Landscape Trees '!G14</f>
        <v>8</v>
      </c>
      <c r="G195" s="53">
        <f ca="1">'Landscape Trees '!H14</f>
        <v>135</v>
      </c>
      <c r="H195" s="51" t="str">
        <f t="shared" ca="1" si="0"/>
        <v>Armstrong Red Maple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#5</v>
      </c>
      <c r="D196" s="42" t="str">
        <f ca="1">'Landscape Trees '!E15</f>
        <v>0.25-0.5"</v>
      </c>
      <c r="E196" s="42" t="str">
        <f ca="1">'Landscape Trees '!F15</f>
        <v>3-5'</v>
      </c>
      <c r="F196" s="52">
        <f ca="1">'Landscape Trees '!G15</f>
        <v>1</v>
      </c>
      <c r="G196" s="53">
        <f ca="1">'Landscape Trees '!H15</f>
        <v>50</v>
      </c>
      <c r="H196" s="51" t="str">
        <f t="shared" ca="1" si="0"/>
        <v>Armstrong Red Maple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saccharinum</v>
      </c>
      <c r="B197" s="51" t="str">
        <f ca="1">'Landscape Trees '!C16</f>
        <v>Silver Maple</v>
      </c>
      <c r="C197" s="42" t="str">
        <f ca="1">'Landscape Trees '!D16</f>
        <v>#5</v>
      </c>
      <c r="D197" s="42" t="str">
        <f ca="1">'Landscape Trees '!E16</f>
        <v>0.75-1.5"</v>
      </c>
      <c r="E197" s="42" t="str">
        <f ca="1">'Landscape Trees '!F16</f>
        <v>7-11'</v>
      </c>
      <c r="F197" s="52">
        <f ca="1">'Landscape Trees '!G16</f>
        <v>42</v>
      </c>
      <c r="G197" s="53">
        <f ca="1">'Landscape Trees '!H16</f>
        <v>50</v>
      </c>
      <c r="H197" s="51" t="str">
        <f t="shared" ca="1" si="0"/>
        <v>Silver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</v>
      </c>
      <c r="B198" s="51" t="str">
        <f ca="1">'Landscape Trees '!C17</f>
        <v>Sugar Maple</v>
      </c>
      <c r="C198" s="42" t="str">
        <f ca="1">'Landscape Trees '!D17</f>
        <v>#15</v>
      </c>
      <c r="D198" s="42" t="str">
        <f ca="1">'Landscape Trees '!E17</f>
        <v>1-1.25"</v>
      </c>
      <c r="E198" s="42" t="str">
        <f ca="1">'Landscape Trees '!F17</f>
        <v>10-12'</v>
      </c>
      <c r="F198" s="52">
        <f ca="1">'Landscape Trees '!G17</f>
        <v>8</v>
      </c>
      <c r="G198" s="53">
        <f ca="1">'Landscape Trees '!H17</f>
        <v>135</v>
      </c>
      <c r="H198" s="51" t="str">
        <f t="shared" ca="1" si="0"/>
        <v>Sugar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 'Bailsta'</v>
      </c>
      <c r="B199" s="51" t="str">
        <f ca="1">'Landscape Trees '!C18</f>
        <v>Fall Fiesta Sugar Maple</v>
      </c>
      <c r="C199" s="42" t="str">
        <f ca="1">'Landscape Trees '!D18</f>
        <v>#15</v>
      </c>
      <c r="D199" s="42" t="str">
        <f ca="1">'Landscape Trees '!E18</f>
        <v>1-1.75"</v>
      </c>
      <c r="E199" s="42" t="str">
        <f ca="1">'Landscape Trees '!F18</f>
        <v>10-13'</v>
      </c>
      <c r="F199" s="52">
        <f ca="1">'Landscape Trees '!G18</f>
        <v>34</v>
      </c>
      <c r="G199" s="53">
        <f ca="1">'Landscape Trees '!H18</f>
        <v>135</v>
      </c>
      <c r="H199" s="51" t="str">
        <f t="shared" ca="1" si="0"/>
        <v>Fall Fiesta Sugar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'Bailsta'</v>
      </c>
      <c r="B200" s="51" t="str">
        <f ca="1">'Landscape Trees '!C19</f>
        <v>Fall Fiesta Sugar Maple</v>
      </c>
      <c r="C200" s="42" t="str">
        <f ca="1">'Landscape Trees '!D19</f>
        <v>#25</v>
      </c>
      <c r="D200" s="42" t="str">
        <f ca="1">'Landscape Trees '!E19</f>
        <v>1.25-1.75"</v>
      </c>
      <c r="E200" s="42" t="str">
        <f ca="1">'Landscape Trees '!F19</f>
        <v>11-14'</v>
      </c>
      <c r="F200" s="52">
        <f ca="1">'Landscape Trees '!G19</f>
        <v>15</v>
      </c>
      <c r="G200" s="53">
        <f ca="1">'Landscape Trees '!H19</f>
        <v>150</v>
      </c>
      <c r="H200" s="51" t="str">
        <f t="shared" ca="1" si="0"/>
        <v>Fall Fiesta Sugar Maple #25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'Green Mountain'</v>
      </c>
      <c r="B201" s="51" t="str">
        <f ca="1">'Landscape Trees '!C20</f>
        <v>Green Mountain Sugar Maple</v>
      </c>
      <c r="C201" s="42" t="str">
        <f ca="1">'Landscape Trees '!D20</f>
        <v>#15</v>
      </c>
      <c r="D201" s="42" t="str">
        <f ca="1">'Landscape Trees '!E20</f>
        <v>1.25-1.5"</v>
      </c>
      <c r="E201" s="42" t="str">
        <f ca="1">'Landscape Trees '!F20</f>
        <v>12-12'</v>
      </c>
      <c r="F201" s="52">
        <f ca="1">'Landscape Trees '!G20</f>
        <v>4</v>
      </c>
      <c r="G201" s="53">
        <f ca="1">'Landscape Trees '!H20</f>
        <v>135</v>
      </c>
      <c r="H201" s="51" t="str">
        <f t="shared" ca="1" si="0"/>
        <v>Green Mountain Sugar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tataricum 'Hot Wings'</v>
      </c>
      <c r="B202" s="51" t="str">
        <f ca="1">'Landscape Trees '!C21</f>
        <v>Hot Wings Maple</v>
      </c>
      <c r="C202" s="42" t="str">
        <f ca="1">'Landscape Trees '!D21</f>
        <v>#15</v>
      </c>
      <c r="D202" s="42" t="str">
        <f ca="1">'Landscape Trees '!E21</f>
        <v>1-1.5"</v>
      </c>
      <c r="E202" s="42" t="str">
        <f ca="1">'Landscape Trees '!F21</f>
        <v>9-12'</v>
      </c>
      <c r="F202" s="52">
        <f ca="1">'Landscape Trees '!G21</f>
        <v>7</v>
      </c>
      <c r="G202" s="53">
        <f ca="1">'Landscape Trees '!H21</f>
        <v>135</v>
      </c>
      <c r="H202" s="51" t="str">
        <f t="shared" ca="1" si="0"/>
        <v>Hot Wings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tataricum 'Hot Wings'</v>
      </c>
      <c r="B203" s="51" t="str">
        <f ca="1">'Landscape Trees '!C22</f>
        <v>Hot Wings Maple</v>
      </c>
      <c r="C203" s="42" t="str">
        <f ca="1">'Landscape Trees '!D22</f>
        <v>#25</v>
      </c>
      <c r="D203" s="42" t="str">
        <f ca="1">'Landscape Trees '!E22</f>
        <v>1.75-1.75"</v>
      </c>
      <c r="E203" s="42" t="str">
        <f ca="1">'Landscape Trees '!F22</f>
        <v>11-12'</v>
      </c>
      <c r="F203" s="52">
        <f ca="1">'Landscape Trees '!G22</f>
        <v>3</v>
      </c>
      <c r="G203" s="53">
        <f ca="1">'Landscape Trees '!H22</f>
        <v>150</v>
      </c>
      <c r="H203" s="51" t="str">
        <f t="shared" ca="1" si="0"/>
        <v>Hot Wings Maple #25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x freemanii</v>
      </c>
      <c r="B204" s="51" t="str">
        <f ca="1">'Landscape Trees '!C23</f>
        <v>Autumn Blaze Maple</v>
      </c>
      <c r="C204" s="42" t="str">
        <f ca="1">'Landscape Trees '!D23</f>
        <v>#10</v>
      </c>
      <c r="D204" s="42" t="str">
        <f ca="1">'Landscape Trees '!E23</f>
        <v>1-1"</v>
      </c>
      <c r="E204" s="42" t="str">
        <f ca="1">'Landscape Trees '!F23</f>
        <v>8-9'</v>
      </c>
      <c r="F204" s="52">
        <f ca="1">'Landscape Trees '!G23</f>
        <v>1</v>
      </c>
      <c r="G204" s="53">
        <f ca="1">'Landscape Trees '!H23</f>
        <v>100</v>
      </c>
      <c r="H204" s="51" t="str">
        <f t="shared" ca="1" si="0"/>
        <v>Autumn Blaze Maple #10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x freemanii</v>
      </c>
      <c r="B205" s="51" t="str">
        <f ca="1">'Landscape Trees '!C24</f>
        <v>Autumn Blaze Maple</v>
      </c>
      <c r="C205" s="42" t="str">
        <f ca="1">'Landscape Trees '!D24</f>
        <v>#15</v>
      </c>
      <c r="D205" s="42" t="str">
        <f ca="1">'Landscape Trees '!E24</f>
        <v>1.25-1.25"</v>
      </c>
      <c r="E205" s="42" t="str">
        <f ca="1">'Landscape Trees '!F24</f>
        <v>10-11'</v>
      </c>
      <c r="F205" s="52">
        <f ca="1">'Landscape Trees '!G24</f>
        <v>1</v>
      </c>
      <c r="G205" s="53">
        <f ca="1">'Landscape Trees '!H24</f>
        <v>135</v>
      </c>
      <c r="H205" s="51" t="str">
        <f t="shared" ca="1" si="0"/>
        <v>Autumn Blaze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Acer x freemanii 'Bailston'</v>
      </c>
      <c r="B206" s="51" t="str">
        <f ca="1">'Landscape Trees '!C25</f>
        <v>Matador Maple</v>
      </c>
      <c r="C206" s="42" t="str">
        <f ca="1">'Landscape Trees '!D25</f>
        <v>#15</v>
      </c>
      <c r="D206" s="42" t="str">
        <f ca="1">'Landscape Trees '!E25</f>
        <v>1.25-1.25"</v>
      </c>
      <c r="E206" s="42" t="str">
        <f ca="1">'Landscape Trees '!F25</f>
        <v>11-12'</v>
      </c>
      <c r="F206" s="52">
        <f ca="1">'Landscape Trees '!G25</f>
        <v>4</v>
      </c>
      <c r="G206" s="53">
        <f ca="1">'Landscape Trees '!H25</f>
        <v>135</v>
      </c>
      <c r="H206" s="51" t="str">
        <f t="shared" ca="1" si="0"/>
        <v>Matador Maple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Aesculus carnea 'Ft. McNair'</v>
      </c>
      <c r="B207" s="51" t="str">
        <f ca="1">'Landscape Trees '!C26</f>
        <v>Ft. McNair Horsechestnut</v>
      </c>
      <c r="C207" s="42" t="str">
        <f ca="1">'Landscape Trees '!D26</f>
        <v>#15</v>
      </c>
      <c r="D207" s="42" t="str">
        <f ca="1">'Landscape Trees '!E26</f>
        <v>1-1.25"</v>
      </c>
      <c r="E207" s="42" t="str">
        <f ca="1">'Landscape Trees '!F26</f>
        <v>7-9'</v>
      </c>
      <c r="F207" s="52">
        <f ca="1">'Landscape Trees '!G26</f>
        <v>6</v>
      </c>
      <c r="G207" s="53">
        <f ca="1">'Landscape Trees '!H26</f>
        <v>135</v>
      </c>
      <c r="H207" s="51" t="str">
        <f t="shared" ca="1" si="0"/>
        <v>Ft. McNair Horsechestnut #15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Aesculus flava</v>
      </c>
      <c r="B208" s="51" t="str">
        <f ca="1">'Landscape Trees '!C27</f>
        <v>Yellow Buckeye</v>
      </c>
      <c r="C208" s="42" t="str">
        <f ca="1">'Landscape Trees '!D27</f>
        <v>#5</v>
      </c>
      <c r="D208" s="42" t="str">
        <f ca="1">'Landscape Trees '!E27</f>
        <v>0.5-0.75"</v>
      </c>
      <c r="E208" s="42" t="str">
        <f ca="1">'Landscape Trees '!F27</f>
        <v>1-2'</v>
      </c>
      <c r="F208" s="52">
        <f ca="1">'Landscape Trees '!G27</f>
        <v>4</v>
      </c>
      <c r="G208" s="53">
        <f ca="1">'Landscape Trees '!H27</f>
        <v>50</v>
      </c>
      <c r="H208" s="51" t="str">
        <f t="shared" ca="1" si="0"/>
        <v>Yellow Buckeye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Aesculus parviflora</v>
      </c>
      <c r="B209" s="51" t="str">
        <f ca="1">'Landscape Trees '!C28</f>
        <v>Bottlebrush Buckeye</v>
      </c>
      <c r="C209" s="42" t="str">
        <f ca="1">'Landscape Trees '!D28</f>
        <v>#5</v>
      </c>
      <c r="D209" s="42" t="str">
        <f ca="1">'Landscape Trees '!E28</f>
        <v>Multi</v>
      </c>
      <c r="E209" s="42" t="str">
        <f ca="1">'Landscape Trees '!F28</f>
        <v>3-5'</v>
      </c>
      <c r="F209" s="52">
        <f ca="1">'Landscape Trees '!G28</f>
        <v>43</v>
      </c>
      <c r="G209" s="53">
        <f ca="1">'Landscape Trees '!H28</f>
        <v>50</v>
      </c>
      <c r="H209" s="51" t="str">
        <f t="shared" ca="1" si="0"/>
        <v>Bottlebrush Buckeye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Albizia julibrissin 'E.H.Wilson'</v>
      </c>
      <c r="B210" s="51" t="str">
        <f ca="1">'Landscape Trees '!C29</f>
        <v>Cold Hardy Mimosa</v>
      </c>
      <c r="C210" s="42" t="str">
        <f ca="1">'Landscape Trees '!D29</f>
        <v>#5</v>
      </c>
      <c r="D210" s="42" t="str">
        <f ca="1">'Landscape Trees '!E29</f>
        <v>1-1.25"</v>
      </c>
      <c r="E210" s="42" t="str">
        <f ca="1">'Landscape Trees '!F29</f>
        <v>6-8'</v>
      </c>
      <c r="F210" s="52">
        <f ca="1">'Landscape Trees '!G29</f>
        <v>9</v>
      </c>
      <c r="G210" s="53">
        <f ca="1">'Landscape Trees '!H29</f>
        <v>50</v>
      </c>
      <c r="H210" s="51" t="str">
        <f t="shared" ca="1" si="0"/>
        <v>Cold Hardy Mimosa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Amelanchier canadensis</v>
      </c>
      <c r="B211" s="51" t="str">
        <f ca="1">'Landscape Trees '!C30</f>
        <v>Canadensis Serviceberry</v>
      </c>
      <c r="C211" s="42" t="str">
        <f ca="1">'Landscape Trees '!D30</f>
        <v>#5</v>
      </c>
      <c r="D211" s="42" t="str">
        <f ca="1">'Landscape Trees '!E30</f>
        <v>Multi</v>
      </c>
      <c r="E211" s="42" t="str">
        <f ca="1">'Landscape Trees '!F30</f>
        <v>4-5'</v>
      </c>
      <c r="F211" s="52">
        <f ca="1">'Landscape Trees '!G30</f>
        <v>156</v>
      </c>
      <c r="G211" s="53">
        <f ca="1">'Landscape Trees '!H30</f>
        <v>50</v>
      </c>
      <c r="H211" s="51" t="str">
        <f t="shared" ca="1" si="0"/>
        <v>Canadensis Serviceberry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Amelanchier grandiflora 'Autumn Brilliance'</v>
      </c>
      <c r="B212" s="51" t="str">
        <f ca="1">'Landscape Trees '!C31</f>
        <v>Autumn Brilliance Serviceberry</v>
      </c>
      <c r="C212" s="42" t="str">
        <f ca="1">'Landscape Trees '!D31</f>
        <v>#5</v>
      </c>
      <c r="D212" s="42" t="str">
        <f ca="1">'Landscape Trees '!E31</f>
        <v>Multi</v>
      </c>
      <c r="E212" s="42" t="str">
        <f ca="1">'Landscape Trees '!F31</f>
        <v>4.5-6'</v>
      </c>
      <c r="F212" s="52">
        <f ca="1">'Landscape Trees '!G31</f>
        <v>25</v>
      </c>
      <c r="G212" s="53">
        <f ca="1">'Landscape Trees '!H31</f>
        <v>50</v>
      </c>
      <c r="H212" s="51" t="str">
        <f t="shared" ca="1" si="0"/>
        <v>Autumn Brilliance Serviceberry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Amelanchier grandiflora 'Autumn Brilliance'</v>
      </c>
      <c r="B213" s="51" t="str">
        <f ca="1">'Landscape Trees '!C32</f>
        <v>Autumn Brilliance Serviceberry</v>
      </c>
      <c r="C213" s="42" t="str">
        <f ca="1">'Landscape Trees '!D32</f>
        <v>#10</v>
      </c>
      <c r="D213" s="42" t="str">
        <f ca="1">'Landscape Trees '!E32</f>
        <v>Multi</v>
      </c>
      <c r="E213" s="42" t="str">
        <f ca="1">'Landscape Trees '!F32</f>
        <v>6-7'</v>
      </c>
      <c r="F213" s="52">
        <f ca="1">'Landscape Trees '!G32</f>
        <v>6</v>
      </c>
      <c r="G213" s="53">
        <f ca="1">'Landscape Trees '!H32</f>
        <v>100</v>
      </c>
      <c r="H213" s="51" t="str">
        <f t="shared" ca="1" si="0"/>
        <v>Autumn Brilliance Serviceberry #10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laevis</v>
      </c>
      <c r="B214" s="51" t="str">
        <f ca="1">'Landscape Trees '!C33</f>
        <v>Allegheny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4-10'</v>
      </c>
      <c r="F214" s="52">
        <f ca="1">'Landscape Trees '!G33</f>
        <v>292</v>
      </c>
      <c r="G214" s="53">
        <f ca="1">'Landscape Trees '!H33</f>
        <v>50</v>
      </c>
      <c r="H214" s="51" t="str">
        <f t="shared" ca="1" si="0"/>
        <v>Allegheny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lamarckii</v>
      </c>
      <c r="B215" s="51" t="str">
        <f ca="1">'Landscape Trees '!C34</f>
        <v>Lamarckii Serviceberry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3-10'</v>
      </c>
      <c r="F215" s="52">
        <f ca="1">'Landscape Trees '!G34</f>
        <v>68</v>
      </c>
      <c r="G215" s="53">
        <f ca="1">'Landscape Trees '!H34</f>
        <v>50</v>
      </c>
      <c r="H215" s="51" t="str">
        <f t="shared" ca="1" si="0"/>
        <v>Lamarckii Serviceberry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Aronia arbutifolia</v>
      </c>
      <c r="B216" s="51" t="str">
        <f ca="1">'Landscape Trees '!C35</f>
        <v>Red Chokeberry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3-4.5'</v>
      </c>
      <c r="F216" s="52">
        <f ca="1">'Landscape Trees '!G35</f>
        <v>25</v>
      </c>
      <c r="G216" s="53">
        <f ca="1">'Landscape Trees '!H35</f>
        <v>37</v>
      </c>
      <c r="H216" s="51" t="str">
        <f t="shared" ca="1" si="0"/>
        <v>Red Chokeberry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Asimina triloba</v>
      </c>
      <c r="B217" s="51" t="str">
        <f ca="1">'Landscape Trees '!C36</f>
        <v>Pawpaw</v>
      </c>
      <c r="C217" s="42" t="str">
        <f ca="1">'Landscape Trees '!D36</f>
        <v>#5</v>
      </c>
      <c r="D217" s="42" t="str">
        <f ca="1">'Landscape Trees '!E36</f>
        <v>0.25-0.5"</v>
      </c>
      <c r="E217" s="42" t="str">
        <f ca="1">'Landscape Trees '!F36</f>
        <v>1-4'</v>
      </c>
      <c r="F217" s="52">
        <f ca="1">'Landscape Trees '!G36</f>
        <v>69</v>
      </c>
      <c r="G217" s="53">
        <f ca="1">'Landscape Trees '!H36</f>
        <v>50</v>
      </c>
      <c r="H217" s="51" t="str">
        <f t="shared" ca="1" si="0"/>
        <v>Pawpaw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Betula nigra 'Heritage'</v>
      </c>
      <c r="B218" s="51" t="str">
        <f ca="1">'Landscape Trees '!C37</f>
        <v>Heritage River Birch</v>
      </c>
      <c r="C218" s="42" t="str">
        <f ca="1">'Landscape Trees '!D37</f>
        <v>#5</v>
      </c>
      <c r="D218" s="42" t="str">
        <f ca="1">'Landscape Trees '!E37</f>
        <v>0.5-0.75"</v>
      </c>
      <c r="E218" s="42" t="str">
        <f ca="1">'Landscape Trees '!F37</f>
        <v>5-7'</v>
      </c>
      <c r="F218" s="52">
        <f ca="1">'Landscape Trees '!G37</f>
        <v>173</v>
      </c>
      <c r="G218" s="53">
        <f ca="1">'Landscape Trees '!H37</f>
        <v>50</v>
      </c>
      <c r="H218" s="51" t="str">
        <f t="shared" ca="1" si="0"/>
        <v>Heritage River Birch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Betula nigra 'Heritage'</v>
      </c>
      <c r="B219" s="51" t="str">
        <f ca="1">'Landscape Trees '!C38</f>
        <v>Clump Heritage River Birch</v>
      </c>
      <c r="C219" s="42" t="str">
        <f ca="1">'Landscape Trees '!D38</f>
        <v>#15</v>
      </c>
      <c r="D219" s="42" t="str">
        <f ca="1">'Landscape Trees '!E38</f>
        <v>Multi</v>
      </c>
      <c r="E219" s="42" t="str">
        <f ca="1">'Landscape Trees '!F38</f>
        <v>8-9.5'</v>
      </c>
      <c r="F219" s="52">
        <f ca="1">'Landscape Trees '!G38</f>
        <v>5</v>
      </c>
      <c r="G219" s="53">
        <f ca="1">'Landscape Trees '!H38</f>
        <v>135</v>
      </c>
      <c r="H219" s="51" t="str">
        <f t="shared" ca="1" si="0"/>
        <v>Clump Heritage River Birch #15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Calycanthus floridus</v>
      </c>
      <c r="B220" s="51" t="str">
        <f ca="1">'Landscape Trees '!C39</f>
        <v>Carolina Allspice</v>
      </c>
      <c r="C220" s="42" t="str">
        <f ca="1">'Landscape Trees '!D39</f>
        <v>#5</v>
      </c>
      <c r="D220" s="42" t="str">
        <f ca="1">'Landscape Trees '!E39</f>
        <v>Multi</v>
      </c>
      <c r="E220" s="42" t="str">
        <f ca="1">'Landscape Trees '!F39</f>
        <v>2.5-3.5'</v>
      </c>
      <c r="F220" s="52">
        <f ca="1">'Landscape Trees '!G39</f>
        <v>1</v>
      </c>
      <c r="G220" s="53">
        <f ca="1">'Landscape Trees '!H39</f>
        <v>37</v>
      </c>
      <c r="H220" s="51" t="str">
        <f t="shared" ca="1" si="0"/>
        <v>Carolina Allspice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Carpinus betulus 'Frans Fontaine'</v>
      </c>
      <c r="B221" s="51" t="str">
        <f ca="1">'Landscape Trees '!C40</f>
        <v>Frans Fontaine European Hornbeam</v>
      </c>
      <c r="C221" s="42" t="str">
        <f ca="1">'Landscape Trees '!D40</f>
        <v>#7</v>
      </c>
      <c r="D221" s="42" t="str">
        <f ca="1">'Landscape Trees '!E40</f>
        <v>0.5-0.75"</v>
      </c>
      <c r="E221" s="42" t="str">
        <f ca="1">'Landscape Trees '!F40</f>
        <v>5-6'</v>
      </c>
      <c r="F221" s="52">
        <f ca="1">'Landscape Trees '!G40</f>
        <v>7</v>
      </c>
      <c r="G221" s="53">
        <f ca="1">'Landscape Trees '!H40</f>
        <v>100</v>
      </c>
      <c r="H221" s="51" t="str">
        <f t="shared" ca="1" si="0"/>
        <v>Frans Fontaine European Hornbeam #7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Carpinus caroliniana</v>
      </c>
      <c r="B222" s="51" t="str">
        <f ca="1">'Landscape Trees '!C41</f>
        <v>American Hornbeam</v>
      </c>
      <c r="C222" s="42" t="str">
        <f ca="1">'Landscape Trees '!D41</f>
        <v>#5</v>
      </c>
      <c r="D222" s="42" t="str">
        <f ca="1">'Landscape Trees '!E41</f>
        <v>0.75-1.25"</v>
      </c>
      <c r="E222" s="42" t="str">
        <f ca="1">'Landscape Trees '!F41</f>
        <v>5-10'</v>
      </c>
      <c r="F222" s="52">
        <f ca="1">'Landscape Trees '!G41</f>
        <v>200</v>
      </c>
      <c r="G222" s="53">
        <f ca="1">'Landscape Trees '!H41</f>
        <v>50</v>
      </c>
      <c r="H222" s="51" t="str">
        <f t="shared" ca="1" si="0"/>
        <v>American Hornbeam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Carpinus caroliniana</v>
      </c>
      <c r="B223" s="51" t="str">
        <f ca="1">'Landscape Trees '!C42</f>
        <v>American Hornbeam</v>
      </c>
      <c r="C223" s="42" t="str">
        <f ca="1">'Landscape Trees '!D42</f>
        <v>#7</v>
      </c>
      <c r="D223" s="42" t="str">
        <f ca="1">'Landscape Trees '!E42</f>
        <v>0.75-1.25"</v>
      </c>
      <c r="E223" s="42" t="str">
        <f ca="1">'Landscape Trees '!F42</f>
        <v>6-8'</v>
      </c>
      <c r="F223" s="52">
        <f ca="1">'Landscape Trees '!G42</f>
        <v>58</v>
      </c>
      <c r="G223" s="53">
        <f ca="1">'Landscape Trees '!H42</f>
        <v>70</v>
      </c>
      <c r="H223" s="51" t="str">
        <f t="shared" ca="1" si="0"/>
        <v>American Hornbeam #7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Carpinus caroliniana</v>
      </c>
      <c r="B224" s="51" t="str">
        <f ca="1">'Landscape Trees '!C43</f>
        <v>American Hornbeam</v>
      </c>
      <c r="C224" s="42" t="str">
        <f ca="1">'Landscape Trees '!D43</f>
        <v>#15</v>
      </c>
      <c r="D224" s="42" t="str">
        <f ca="1">'Landscape Trees '!E43</f>
        <v>1-1.25"</v>
      </c>
      <c r="E224" s="42" t="str">
        <f ca="1">'Landscape Trees '!F43</f>
        <v>9-10'</v>
      </c>
      <c r="F224" s="52">
        <f ca="1">'Landscape Trees '!G43</f>
        <v>6</v>
      </c>
      <c r="G224" s="53">
        <f ca="1">'Landscape Trees '!H43</f>
        <v>135</v>
      </c>
      <c r="H224" s="51" t="str">
        <f t="shared" ca="1" si="0"/>
        <v>American Hornbeam #15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Catalpa bignonioides</v>
      </c>
      <c r="B225" s="51" t="str">
        <f ca="1">'Landscape Trees '!C44</f>
        <v>Southern Catalpa</v>
      </c>
      <c r="C225" s="42" t="str">
        <f ca="1">'Landscape Trees '!D44</f>
        <v>#5</v>
      </c>
      <c r="D225" s="42" t="str">
        <f ca="1">'Landscape Trees '!E44</f>
        <v>0.75-1.5"</v>
      </c>
      <c r="E225" s="42" t="str">
        <f ca="1">'Landscape Trees '!F44</f>
        <v>3-7'</v>
      </c>
      <c r="F225" s="52">
        <f ca="1">'Landscape Trees '!G44</f>
        <v>5</v>
      </c>
      <c r="G225" s="53">
        <f ca="1">'Landscape Trees '!H44</f>
        <v>50</v>
      </c>
      <c r="H225" s="51" t="str">
        <f t="shared" ca="1" si="0"/>
        <v>Southern Catalpa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Catalpa speciosa</v>
      </c>
      <c r="B226" s="51" t="str">
        <f ca="1">'Landscape Trees '!C45</f>
        <v>Northern Catalpa</v>
      </c>
      <c r="C226" s="42" t="str">
        <f ca="1">'Landscape Trees '!D45</f>
        <v>#5</v>
      </c>
      <c r="D226" s="42" t="str">
        <f ca="1">'Landscape Trees '!E45</f>
        <v>1.25-1.25"</v>
      </c>
      <c r="E226" s="42" t="str">
        <f ca="1">'Landscape Trees '!F45</f>
        <v>7-7'</v>
      </c>
      <c r="F226" s="52">
        <f ca="1">'Landscape Trees '!G45</f>
        <v>1</v>
      </c>
      <c r="G226" s="53">
        <f ca="1">'Landscape Trees '!H45</f>
        <v>50</v>
      </c>
      <c r="H226" s="51" t="str">
        <f t="shared" ca="1" si="0"/>
        <v>Northern Catalpa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Catalpa speciosa</v>
      </c>
      <c r="B227" s="51" t="str">
        <f ca="1">'Landscape Trees '!C46</f>
        <v>Northern Catalpa</v>
      </c>
      <c r="C227" s="42" t="str">
        <f ca="1">'Landscape Trees '!D46</f>
        <v>#15</v>
      </c>
      <c r="D227" s="42" t="str">
        <f ca="1">'Landscape Trees '!E46</f>
        <v>2-2.25"</v>
      </c>
      <c r="E227" s="42" t="str">
        <f ca="1">'Landscape Trees '!F46</f>
        <v>10-11'</v>
      </c>
      <c r="F227" s="52">
        <f ca="1">'Landscape Trees '!G46</f>
        <v>3</v>
      </c>
      <c r="G227" s="53">
        <f ca="1">'Landscape Trees '!H46</f>
        <v>135</v>
      </c>
      <c r="H227" s="51" t="str">
        <f t="shared" ca="1" si="0"/>
        <v>Northern Catalpa #15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Celtis laevigata</v>
      </c>
      <c r="B228" s="51" t="str">
        <f ca="1">'Landscape Trees '!C47</f>
        <v>Sugarberry</v>
      </c>
      <c r="C228" s="42" t="str">
        <f ca="1">'Landscape Trees '!D47</f>
        <v>#5</v>
      </c>
      <c r="D228" s="42" t="str">
        <f ca="1">'Landscape Trees '!E47</f>
        <v>0.5-1.25"</v>
      </c>
      <c r="E228" s="42" t="str">
        <f ca="1">'Landscape Trees '!F47</f>
        <v>4-9'</v>
      </c>
      <c r="F228" s="52">
        <f ca="1">'Landscape Trees '!G47</f>
        <v>73</v>
      </c>
      <c r="G228" s="53">
        <f ca="1">'Landscape Trees '!H47</f>
        <v>50</v>
      </c>
      <c r="H228" s="51" t="str">
        <f t="shared" ca="1" si="0"/>
        <v>Sugarberry #5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Celtis occidentalis</v>
      </c>
      <c r="B229" s="51" t="str">
        <f ca="1">'Landscape Trees '!C48</f>
        <v>Hackberry</v>
      </c>
      <c r="C229" s="42" t="str">
        <f ca="1">'Landscape Trees '!D48</f>
        <v>#5</v>
      </c>
      <c r="D229" s="42" t="str">
        <f ca="1">'Landscape Trees '!E48</f>
        <v>0.75-1.25"</v>
      </c>
      <c r="E229" s="42" t="str">
        <f ca="1">'Landscape Trees '!F48</f>
        <v>5-11'</v>
      </c>
      <c r="F229" s="52">
        <f ca="1">'Landscape Trees '!G48</f>
        <v>257</v>
      </c>
      <c r="G229" s="53">
        <f ca="1">'Landscape Trees '!H48</f>
        <v>50</v>
      </c>
      <c r="H229" s="51" t="str">
        <f t="shared" ca="1" si="0"/>
        <v>Hackberry #5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Celtis occidentalis 'Ultra'</v>
      </c>
      <c r="B230" s="51" t="str">
        <f ca="1">'Landscape Trees '!C49</f>
        <v>Ultra Hackberry (Discounted)</v>
      </c>
      <c r="C230" s="42" t="str">
        <f ca="1">'Landscape Trees '!D49</f>
        <v>#25</v>
      </c>
      <c r="D230" s="42" t="str">
        <f ca="1">'Landscape Trees '!E49</f>
        <v>1.75-2"</v>
      </c>
      <c r="E230" s="42" t="str">
        <f ca="1">'Landscape Trees '!F49</f>
        <v>12-13'</v>
      </c>
      <c r="F230" s="52">
        <f ca="1">'Landscape Trees '!G49</f>
        <v>3</v>
      </c>
      <c r="G230" s="53">
        <f ca="1">'Landscape Trees '!H49</f>
        <v>100</v>
      </c>
      <c r="H230" s="51" t="str">
        <f t="shared" ca="1" si="0"/>
        <v>Ultra Hackberry (Discounted) #25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Cephalanthus occidentalis</v>
      </c>
      <c r="B231" s="51" t="str">
        <f ca="1">'Landscape Trees '!C50</f>
        <v>Buttonbush</v>
      </c>
      <c r="C231" s="42" t="str">
        <f ca="1">'Landscape Trees '!D50</f>
        <v>#5</v>
      </c>
      <c r="D231" s="42" t="str">
        <f ca="1">'Landscape Trees '!E50</f>
        <v>Multi</v>
      </c>
      <c r="E231" s="42" t="str">
        <f ca="1">'Landscape Trees '!F50</f>
        <v>3-3'</v>
      </c>
      <c r="F231" s="52">
        <f ca="1">'Landscape Trees '!G50</f>
        <v>31</v>
      </c>
      <c r="G231" s="53">
        <f ca="1">'Landscape Trees '!H50</f>
        <v>37</v>
      </c>
      <c r="H231" s="51" t="str">
        <f t="shared" ca="1" si="0"/>
        <v>Buttonbush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Cercis canadensis</v>
      </c>
      <c r="B232" s="51" t="str">
        <f ca="1">'Landscape Trees '!C51</f>
        <v>Eastern Redbud</v>
      </c>
      <c r="C232" s="42" t="str">
        <f ca="1">'Landscape Trees '!D51</f>
        <v>#5</v>
      </c>
      <c r="D232" s="42" t="str">
        <f ca="1">'Landscape Trees '!E51</f>
        <v>0.25-0.75"</v>
      </c>
      <c r="E232" s="42" t="str">
        <f ca="1">'Landscape Trees '!F51</f>
        <v>4-7'</v>
      </c>
      <c r="F232" s="52">
        <f ca="1">'Landscape Trees '!G51</f>
        <v>109</v>
      </c>
      <c r="G232" s="53">
        <f ca="1">'Landscape Trees '!H51</f>
        <v>50</v>
      </c>
      <c r="H232" s="51" t="str">
        <f t="shared" ca="1" si="0"/>
        <v>Eastern Redbud #5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Cercis canadensis</v>
      </c>
      <c r="B233" s="51" t="str">
        <f ca="1">'Landscape Trees '!C52</f>
        <v>Eastern Redbud</v>
      </c>
      <c r="C233" s="42" t="str">
        <f ca="1">'Landscape Trees '!D52</f>
        <v>#7</v>
      </c>
      <c r="D233" s="42" t="str">
        <f ca="1">'Landscape Trees '!E52</f>
        <v>0.75-1"</v>
      </c>
      <c r="E233" s="42" t="str">
        <f ca="1">'Landscape Trees '!F52</f>
        <v>6-9'</v>
      </c>
      <c r="F233" s="52">
        <f ca="1">'Landscape Trees '!G52</f>
        <v>1</v>
      </c>
      <c r="G233" s="53">
        <f ca="1">'Landscape Trees '!H52</f>
        <v>70</v>
      </c>
      <c r="H233" s="51" t="str">
        <f t="shared" ca="1" si="0"/>
        <v>Eastern Redbud #7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Cercis canadensis</v>
      </c>
      <c r="B234" s="51" t="str">
        <f ca="1">'Landscape Trees '!C53</f>
        <v>Eastern Redbud</v>
      </c>
      <c r="C234" s="42" t="str">
        <f ca="1">'Landscape Trees '!D53</f>
        <v>#10</v>
      </c>
      <c r="D234" s="42" t="str">
        <f ca="1">'Landscape Trees '!E53</f>
        <v>0.75-1.5"</v>
      </c>
      <c r="E234" s="42" t="str">
        <f ca="1">'Landscape Trees '!F53</f>
        <v>6-11'</v>
      </c>
      <c r="F234" s="52">
        <f ca="1">'Landscape Trees '!G53</f>
        <v>15</v>
      </c>
      <c r="G234" s="53">
        <f ca="1">'Landscape Trees '!H53</f>
        <v>100</v>
      </c>
      <c r="H234" s="51" t="str">
        <f t="shared" ca="1" si="0"/>
        <v>Eastern Redbud #10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canadensis</v>
      </c>
      <c r="B235" s="51" t="str">
        <f ca="1">'Landscape Trees '!C54</f>
        <v>Eastern Redbud</v>
      </c>
      <c r="C235" s="42" t="str">
        <f ca="1">'Landscape Trees '!D54</f>
        <v>#15</v>
      </c>
      <c r="D235" s="42" t="str">
        <f ca="1">'Landscape Trees '!E54</f>
        <v>1.25-1.5"</v>
      </c>
      <c r="E235" s="42" t="str">
        <f ca="1">'Landscape Trees '!F54</f>
        <v>9-11'</v>
      </c>
      <c r="F235" s="52">
        <f ca="1">'Landscape Trees '!G54</f>
        <v>4</v>
      </c>
      <c r="G235" s="53">
        <f ca="1">'Landscape Trees '!H54</f>
        <v>135</v>
      </c>
      <c r="H235" s="51" t="str">
        <f t="shared" ca="1" si="0"/>
        <v>Eastern Redbud #15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 'Forest Pansy'</v>
      </c>
      <c r="B236" s="51" t="str">
        <f ca="1">'Landscape Trees '!C55</f>
        <v>Forest Pansy Redbud</v>
      </c>
      <c r="C236" s="42" t="str">
        <f ca="1">'Landscape Trees '!D55</f>
        <v>#10</v>
      </c>
      <c r="D236" s="42" t="str">
        <f ca="1">'Landscape Trees '!E55</f>
        <v>1-1.25"</v>
      </c>
      <c r="E236" s="42" t="str">
        <f ca="1">'Landscape Trees '!F55</f>
        <v>6-11'</v>
      </c>
      <c r="F236" s="52">
        <f ca="1">'Landscape Trees '!G55</f>
        <v>31</v>
      </c>
      <c r="G236" s="53">
        <f ca="1">'Landscape Trees '!H55</f>
        <v>100</v>
      </c>
      <c r="H236" s="51" t="str">
        <f t="shared" ca="1" si="0"/>
        <v>Forest Pansy Redbud #10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 'Lavender Twist'</v>
      </c>
      <c r="B237" s="51" t="str">
        <f ca="1">'Landscape Trees '!C56</f>
        <v>Lavender Twist Redbud</v>
      </c>
      <c r="C237" s="42" t="str">
        <f ca="1">'Landscape Trees '!D56</f>
        <v>#7</v>
      </c>
      <c r="D237" s="42" t="str">
        <f ca="1">'Landscape Trees '!E56</f>
        <v>0.75-1"</v>
      </c>
      <c r="E237" s="42" t="str">
        <f ca="1">'Landscape Trees '!F56</f>
        <v>4-6'</v>
      </c>
      <c r="F237" s="52">
        <f ca="1">'Landscape Trees '!G56</f>
        <v>8</v>
      </c>
      <c r="G237" s="53">
        <f ca="1">'Landscape Trees '!H56</f>
        <v>100</v>
      </c>
      <c r="H237" s="51" t="str">
        <f t="shared" ca="1" si="0"/>
        <v>Lavender Twist Redbud #7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 'Ruby Falls'</v>
      </c>
      <c r="B238" s="51" t="str">
        <f ca="1">'Landscape Trees '!C57</f>
        <v>Ruby Falls Redbud</v>
      </c>
      <c r="C238" s="42" t="str">
        <f ca="1">'Landscape Trees '!D57</f>
        <v>#5</v>
      </c>
      <c r="D238" s="42" t="str">
        <f ca="1">'Landscape Trees '!E57</f>
        <v>0.5-0.5"</v>
      </c>
      <c r="E238" s="42" t="str">
        <f ca="1">'Landscape Trees '!F57</f>
        <v>2-3'</v>
      </c>
      <c r="F238" s="52">
        <f ca="1">'Landscape Trees '!G57</f>
        <v>5</v>
      </c>
      <c r="G238" s="53">
        <f ca="1">'Landscape Trees '!H57</f>
        <v>100</v>
      </c>
      <c r="H238" s="51" t="str">
        <f t="shared" ca="1" si="0"/>
        <v>Ruby Falls Redbud #5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 'Whitebud'</v>
      </c>
      <c r="B239" s="51" t="str">
        <f ca="1">'Landscape Trees '!C58</f>
        <v>Whitebud</v>
      </c>
      <c r="C239" s="42" t="str">
        <f ca="1">'Landscape Trees '!D58</f>
        <v>#15</v>
      </c>
      <c r="D239" s="42" t="str">
        <f ca="1">'Landscape Trees '!E58</f>
        <v>1-1"</v>
      </c>
      <c r="E239" s="42" t="str">
        <f ca="1">'Landscape Trees '!F58</f>
        <v>7-8'</v>
      </c>
      <c r="F239" s="52">
        <f ca="1">'Landscape Trees '!G58</f>
        <v>4</v>
      </c>
      <c r="G239" s="53">
        <f ca="1">'Landscape Trees '!H58</f>
        <v>135</v>
      </c>
      <c r="H239" s="51" t="str">
        <f t="shared" ca="1" si="0"/>
        <v>Whitebud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Chionanthus virginicus</v>
      </c>
      <c r="B240" s="51" t="str">
        <f ca="1">'Landscape Trees '!C59</f>
        <v>White Fringe Tree</v>
      </c>
      <c r="C240" s="42" t="str">
        <f ca="1">'Landscape Trees '!D59</f>
        <v>#5</v>
      </c>
      <c r="D240" s="42" t="str">
        <f ca="1">'Landscape Trees '!E59</f>
        <v>Multi</v>
      </c>
      <c r="E240" s="42" t="str">
        <f ca="1">'Landscape Trees '!F59</f>
        <v>1-3'</v>
      </c>
      <c r="F240" s="52">
        <f ca="1">'Landscape Trees '!G59</f>
        <v>72</v>
      </c>
      <c r="G240" s="53">
        <f ca="1">'Landscape Trees '!H59</f>
        <v>50</v>
      </c>
      <c r="H240" s="51" t="str">
        <f t="shared" ca="1" si="0"/>
        <v>White Fringe Tree #5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Cladastris kentuckea 'Perkins Pink'</v>
      </c>
      <c r="B241" s="51" t="str">
        <f ca="1">'Landscape Trees '!C60</f>
        <v>Perkins Pink Yellowwood</v>
      </c>
      <c r="C241" s="42" t="str">
        <f ca="1">'Landscape Trees '!D60</f>
        <v>#15</v>
      </c>
      <c r="D241" s="42" t="str">
        <f ca="1">'Landscape Trees '!E60</f>
        <v>1-1.25"</v>
      </c>
      <c r="E241" s="42" t="str">
        <f ca="1">'Landscape Trees '!F60</f>
        <v>9-11'</v>
      </c>
      <c r="F241" s="52">
        <f ca="1">'Landscape Trees '!G60</f>
        <v>3</v>
      </c>
      <c r="G241" s="53">
        <f ca="1">'Landscape Trees '!H60</f>
        <v>135</v>
      </c>
      <c r="H241" s="51" t="str">
        <f t="shared" ca="1" si="0"/>
        <v>Perkins Pink Yellowwood #15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Cladrastis kentukea</v>
      </c>
      <c r="B242" s="51" t="str">
        <f ca="1">'Landscape Trees '!C61</f>
        <v>Yellowwood</v>
      </c>
      <c r="C242" s="42" t="str">
        <f ca="1">'Landscape Trees '!D61</f>
        <v>#5</v>
      </c>
      <c r="D242" s="42" t="str">
        <f ca="1">'Landscape Trees '!E61</f>
        <v>0.5-0.75"</v>
      </c>
      <c r="E242" s="42" t="str">
        <f ca="1">'Landscape Trees '!F61</f>
        <v>4-8'</v>
      </c>
      <c r="F242" s="52">
        <f ca="1">'Landscape Trees '!G61</f>
        <v>130</v>
      </c>
      <c r="G242" s="53">
        <f ca="1">'Landscape Trees '!H61</f>
        <v>50</v>
      </c>
      <c r="H242" s="51" t="str">
        <f t="shared" ca="1" si="0"/>
        <v>Yellowwood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Cladrastis kentukea</v>
      </c>
      <c r="B243" s="51" t="str">
        <f ca="1">'Landscape Trees '!C62</f>
        <v>Yellowwood</v>
      </c>
      <c r="C243" s="42" t="str">
        <f ca="1">'Landscape Trees '!D62</f>
        <v>#15</v>
      </c>
      <c r="D243" s="42" t="str">
        <f ca="1">'Landscape Trees '!E62</f>
        <v>1-1.25"</v>
      </c>
      <c r="E243" s="42" t="str">
        <f ca="1">'Landscape Trees '!F62</f>
        <v>9-10'</v>
      </c>
      <c r="F243" s="52">
        <f ca="1">'Landscape Trees '!G62</f>
        <v>5</v>
      </c>
      <c r="G243" s="53">
        <f ca="1">'Landscape Trees '!H62</f>
        <v>135</v>
      </c>
      <c r="H243" s="51" t="str">
        <f t="shared" ca="1" si="0"/>
        <v>Yellowwood #15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Cornus 'Appalachian Spring'</v>
      </c>
      <c r="B244" s="51" t="str">
        <f ca="1">'Landscape Trees '!C63</f>
        <v>Appalachian Spring Dogwood</v>
      </c>
      <c r="C244" s="42" t="str">
        <f ca="1">'Landscape Trees '!D63</f>
        <v>#10</v>
      </c>
      <c r="D244" s="42" t="str">
        <f ca="1">'Landscape Trees '!E63</f>
        <v>0.5-0.75"</v>
      </c>
      <c r="E244" s="42" t="str">
        <f ca="1">'Landscape Trees '!F63</f>
        <v>4-5'</v>
      </c>
      <c r="F244" s="52">
        <f ca="1">'Landscape Trees '!G63</f>
        <v>1</v>
      </c>
      <c r="G244" s="53">
        <f ca="1">'Landscape Trees '!H63</f>
        <v>100</v>
      </c>
      <c r="H244" s="51" t="str">
        <f t="shared" ca="1" si="0"/>
        <v>Appalachian Spring Dogwood #10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Cornus florida</v>
      </c>
      <c r="B245" s="51" t="str">
        <f ca="1">'Landscape Trees '!C64</f>
        <v>White Dogwood</v>
      </c>
      <c r="C245" s="42" t="str">
        <f ca="1">'Landscape Trees '!D64</f>
        <v>#5</v>
      </c>
      <c r="D245" s="42" t="str">
        <f ca="1">'Landscape Trees '!E64</f>
        <v>0.25-0.75"</v>
      </c>
      <c r="E245" s="42" t="str">
        <f ca="1">'Landscape Trees '!F64</f>
        <v>4-7'</v>
      </c>
      <c r="F245" s="52">
        <f ca="1">'Landscape Trees '!G64</f>
        <v>159</v>
      </c>
      <c r="G245" s="53">
        <f ca="1">'Landscape Trees '!H64</f>
        <v>50</v>
      </c>
      <c r="H245" s="51" t="str">
        <f t="shared" ca="1" si="0"/>
        <v>White Dogwood #5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Cornus florida</v>
      </c>
      <c r="B246" s="51" t="str">
        <f ca="1">'Landscape Trees '!C65</f>
        <v>White Dogwood</v>
      </c>
      <c r="C246" s="42" t="str">
        <f ca="1">'Landscape Trees '!D65</f>
        <v>#7</v>
      </c>
      <c r="D246" s="42" t="str">
        <f ca="1">'Landscape Trees '!E65</f>
        <v>0.5-0.75"</v>
      </c>
      <c r="E246" s="42" t="str">
        <f ca="1">'Landscape Trees '!F65</f>
        <v>5-6'</v>
      </c>
      <c r="F246" s="52">
        <f ca="1">'Landscape Trees '!G65</f>
        <v>86</v>
      </c>
      <c r="G246" s="53">
        <f ca="1">'Landscape Trees '!H65</f>
        <v>70</v>
      </c>
      <c r="H246" s="51" t="str">
        <f t="shared" ca="1" si="0"/>
        <v>White Dogwood #7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Cornus florida 'Appalachian Mist'</v>
      </c>
      <c r="B247" s="51" t="str">
        <f ca="1">'Landscape Trees '!C66</f>
        <v>Appalachian Mist Dogwood</v>
      </c>
      <c r="C247" s="42" t="str">
        <f ca="1">'Landscape Trees '!D66</f>
        <v>#7</v>
      </c>
      <c r="D247" s="42" t="str">
        <f ca="1">'Landscape Trees '!E66</f>
        <v>0.5-1"</v>
      </c>
      <c r="E247" s="42" t="str">
        <f ca="1">'Landscape Trees '!F66</f>
        <v>4-5.5'</v>
      </c>
      <c r="F247" s="52">
        <f ca="1">'Landscape Trees '!G66</f>
        <v>25</v>
      </c>
      <c r="G247" s="53">
        <f ca="1">'Landscape Trees '!H66</f>
        <v>70</v>
      </c>
      <c r="H247" s="51" t="str">
        <f t="shared" ca="1" si="0"/>
        <v>Appalachian Mist Dogwood #7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florida 'Appalachian Snow'</v>
      </c>
      <c r="B248" s="51" t="str">
        <f ca="1">'Landscape Trees '!C67</f>
        <v>Appalachian Snow Dogwood</v>
      </c>
      <c r="C248" s="42" t="str">
        <f ca="1">'Landscape Trees '!D67</f>
        <v>#5</v>
      </c>
      <c r="D248" s="42" t="str">
        <f ca="1">'Landscape Trees '!E67</f>
        <v>0.5-0.75"</v>
      </c>
      <c r="E248" s="42" t="str">
        <f ca="1">'Landscape Trees '!F67</f>
        <v>4-5'</v>
      </c>
      <c r="F248" s="52">
        <f ca="1">'Landscape Trees '!G67</f>
        <v>19</v>
      </c>
      <c r="G248" s="53">
        <f ca="1">'Landscape Trees '!H67</f>
        <v>50</v>
      </c>
      <c r="H248" s="51" t="str">
        <f t="shared" ca="1" si="0"/>
        <v>Appalachian Snow Dogwood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Cornus florida 'Cherokee Brave'</v>
      </c>
      <c r="B249" s="51" t="str">
        <f ca="1">'Landscape Trees '!C68</f>
        <v>Cherokee Brave Dogwood</v>
      </c>
      <c r="C249" s="42" t="str">
        <f ca="1">'Landscape Trees '!D68</f>
        <v>#5</v>
      </c>
      <c r="D249" s="42" t="str">
        <f ca="1">'Landscape Trees '!E68</f>
        <v>0.5-0.75"</v>
      </c>
      <c r="E249" s="42" t="str">
        <f ca="1">'Landscape Trees '!F68</f>
        <v>4-5'</v>
      </c>
      <c r="F249" s="52">
        <f ca="1">'Landscape Trees '!G68</f>
        <v>111</v>
      </c>
      <c r="G249" s="53">
        <f ca="1">'Landscape Trees '!H68</f>
        <v>50</v>
      </c>
      <c r="H249" s="51" t="str">
        <f t="shared" ca="1" si="0"/>
        <v>Cherokee Brave Dogwood #5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Cornus florida 'Cherokee Brave'</v>
      </c>
      <c r="B250" s="51" t="str">
        <f ca="1">'Landscape Trees '!C69</f>
        <v>Cherokee Brave Dogwood</v>
      </c>
      <c r="C250" s="42" t="str">
        <f ca="1">'Landscape Trees '!D69</f>
        <v>#7</v>
      </c>
      <c r="D250" s="42" t="str">
        <f ca="1">'Landscape Trees '!E69</f>
        <v>0.5-1"</v>
      </c>
      <c r="E250" s="42" t="str">
        <f ca="1">'Landscape Trees '!F69</f>
        <v>4-6'</v>
      </c>
      <c r="F250" s="52">
        <f ca="1">'Landscape Trees '!G69</f>
        <v>31</v>
      </c>
      <c r="G250" s="53">
        <f ca="1">'Landscape Trees '!H69</f>
        <v>70</v>
      </c>
      <c r="H250" s="51" t="str">
        <f t="shared" ca="1" si="0"/>
        <v>Cherokee Brave Dogwood #7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florida 'Cherokee Brave'</v>
      </c>
      <c r="B251" s="51" t="str">
        <f ca="1">'Landscape Trees '!C70</f>
        <v>Cherokee Brave Dogwood</v>
      </c>
      <c r="C251" s="42" t="str">
        <f ca="1">'Landscape Trees '!D70</f>
        <v>#10</v>
      </c>
      <c r="D251" s="42" t="str">
        <f ca="1">'Landscape Trees '!E70</f>
        <v>0.75-1"</v>
      </c>
      <c r="E251" s="42" t="str">
        <f ca="1">'Landscape Trees '!F70</f>
        <v>6-8'</v>
      </c>
      <c r="F251" s="52">
        <f ca="1">'Landscape Trees '!G70</f>
        <v>13</v>
      </c>
      <c r="G251" s="53">
        <f ca="1">'Landscape Trees '!H70</f>
        <v>100</v>
      </c>
      <c r="H251" s="51" t="str">
        <f t="shared" ca="1" si="0"/>
        <v>Cherokee Brave Dogwood #10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florida 'Cherokee Princess'</v>
      </c>
      <c r="B252" s="51" t="str">
        <f ca="1">'Landscape Trees '!C71</f>
        <v>Cherokee Princess Dogwood</v>
      </c>
      <c r="C252" s="42" t="str">
        <f ca="1">'Landscape Trees '!D71</f>
        <v>#7</v>
      </c>
      <c r="D252" s="42" t="str">
        <f ca="1">'Landscape Trees '!E71</f>
        <v>0.5-0.75"</v>
      </c>
      <c r="E252" s="42" t="str">
        <f ca="1">'Landscape Trees '!F71</f>
        <v>4-6'</v>
      </c>
      <c r="F252" s="52">
        <f ca="1">'Landscape Trees '!G71</f>
        <v>17</v>
      </c>
      <c r="G252" s="53">
        <f ca="1">'Landscape Trees '!H71</f>
        <v>70</v>
      </c>
      <c r="H252" s="51" t="str">
        <f t="shared" ca="1" si="0"/>
        <v>Cherokee Princess Dogwood #7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florida 'Cloud 9'</v>
      </c>
      <c r="B253" s="51" t="str">
        <f ca="1">'Landscape Trees '!C72</f>
        <v>Cloud 9 Dogwood</v>
      </c>
      <c r="C253" s="42" t="str">
        <f ca="1">'Landscape Trees '!D72</f>
        <v>#5</v>
      </c>
      <c r="D253" s="42" t="str">
        <f ca="1">'Landscape Trees '!E72</f>
        <v>0.75-1"</v>
      </c>
      <c r="E253" s="42" t="str">
        <f ca="1">'Landscape Trees '!F72</f>
        <v>4-5.5'</v>
      </c>
      <c r="F253" s="52">
        <f ca="1">'Landscape Trees '!G72</f>
        <v>21</v>
      </c>
      <c r="G253" s="53">
        <f ca="1">'Landscape Trees '!H72</f>
        <v>50</v>
      </c>
      <c r="H253" s="51" t="str">
        <f t="shared" ca="1" si="0"/>
        <v>Cloud 9 Dogwood #5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kousa 'Rutpink'</v>
      </c>
      <c r="B254" s="51" t="str">
        <f ca="1">'Landscape Trees '!C73</f>
        <v>Scarlet Fire Dogwood</v>
      </c>
      <c r="C254" s="42" t="str">
        <f ca="1">'Landscape Trees '!D73</f>
        <v>#7</v>
      </c>
      <c r="D254" s="42" t="str">
        <f ca="1">'Landscape Trees '!E73</f>
        <v>0.75-1.25"</v>
      </c>
      <c r="E254" s="42" t="str">
        <f ca="1">'Landscape Trees '!F73</f>
        <v>7-9'</v>
      </c>
      <c r="F254" s="52">
        <f ca="1">'Landscape Trees '!G73</f>
        <v>38</v>
      </c>
      <c r="G254" s="53">
        <f ca="1">'Landscape Trees '!H73</f>
        <v>70</v>
      </c>
      <c r="H254" s="51" t="str">
        <f t="shared" ca="1" si="0"/>
        <v>Scarlet Fire Dogwood #7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kousa 'Rutpink'</v>
      </c>
      <c r="B255" s="51" t="str">
        <f ca="1">'Landscape Trees '!C74</f>
        <v>Scarlet Fire Dogwood</v>
      </c>
      <c r="C255" s="42" t="str">
        <f ca="1">'Landscape Trees '!D74</f>
        <v>#10</v>
      </c>
      <c r="D255" s="42" t="str">
        <f ca="1">'Landscape Trees '!E74</f>
        <v>1-1.5"</v>
      </c>
      <c r="E255" s="42" t="str">
        <f ca="1">'Landscape Trees '!F74</f>
        <v>8-10'</v>
      </c>
      <c r="F255" s="52">
        <f ca="1">'Landscape Trees '!G74</f>
        <v>19</v>
      </c>
      <c r="G255" s="53">
        <f ca="1">'Landscape Trees '!H74</f>
        <v>100</v>
      </c>
      <c r="H255" s="51" t="str">
        <f t="shared" ca="1" si="0"/>
        <v>Scarlet Fire Dogwood #10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sericea</v>
      </c>
      <c r="B256" s="51" t="str">
        <f ca="1">'Landscape Trees '!C75</f>
        <v>Red Twig Dogwood</v>
      </c>
      <c r="C256" s="42" t="str">
        <f ca="1">'Landscape Trees '!D75</f>
        <v>#5</v>
      </c>
      <c r="D256" s="42" t="str">
        <f ca="1">'Landscape Trees '!E75</f>
        <v>Multi</v>
      </c>
      <c r="E256" s="42" t="str">
        <f ca="1">'Landscape Trees '!F75</f>
        <v>3-4'</v>
      </c>
      <c r="F256" s="52">
        <f ca="1">'Landscape Trees '!G75</f>
        <v>6</v>
      </c>
      <c r="G256" s="53">
        <f ca="1">'Landscape Trees '!H75</f>
        <v>37</v>
      </c>
      <c r="H256" s="51" t="str">
        <f t="shared" ca="1" si="0"/>
        <v>Red Twig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x 'Rutgan' Stellar Pink</v>
      </c>
      <c r="B257" s="51" t="str">
        <f ca="1">'Landscape Trees '!C76</f>
        <v>Stellar Pink Dogwood</v>
      </c>
      <c r="C257" s="42" t="str">
        <f ca="1">'Landscape Trees '!D76</f>
        <v>#10</v>
      </c>
      <c r="D257" s="42" t="str">
        <f ca="1">'Landscape Trees '!E76</f>
        <v>1.25-1.5"</v>
      </c>
      <c r="E257" s="42" t="str">
        <f ca="1">'Landscape Trees '!F76</f>
        <v>9-11'</v>
      </c>
      <c r="F257" s="52">
        <f ca="1">'Landscape Trees '!G76</f>
        <v>12</v>
      </c>
      <c r="G257" s="53">
        <f ca="1">'Landscape Trees '!H76</f>
        <v>100</v>
      </c>
      <c r="H257" s="51" t="str">
        <f t="shared" ca="1" si="0"/>
        <v>Stellar Pink Dogwood #10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x Rutcan 'Constellation'</v>
      </c>
      <c r="B258" s="51" t="str">
        <f ca="1">'Landscape Trees '!C77</f>
        <v>Constellation Dogwood</v>
      </c>
      <c r="C258" s="42" t="str">
        <f ca="1">'Landscape Trees '!D77</f>
        <v>#10</v>
      </c>
      <c r="D258" s="42" t="str">
        <f ca="1">'Landscape Trees '!E77</f>
        <v>1-1.25"</v>
      </c>
      <c r="E258" s="42" t="str">
        <f ca="1">'Landscape Trees '!F77</f>
        <v>8-9.5'</v>
      </c>
      <c r="F258" s="52">
        <f ca="1">'Landscape Trees '!G77</f>
        <v>31</v>
      </c>
      <c r="G258" s="53">
        <f ca="1">'Landscape Trees '!H77</f>
        <v>100</v>
      </c>
      <c r="H258" s="51" t="str">
        <f t="shared" ca="1" si="0"/>
        <v>Constellation Dogwood #10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x Rutcan 'Constellation'</v>
      </c>
      <c r="B259" s="51" t="str">
        <f ca="1">'Landscape Trees '!C78</f>
        <v>Constellation Dogwood</v>
      </c>
      <c r="C259" s="42" t="str">
        <f ca="1">'Landscape Trees '!D78</f>
        <v>#15</v>
      </c>
      <c r="D259" s="42" t="str">
        <f ca="1">'Landscape Trees '!E78</f>
        <v>1-1.25"</v>
      </c>
      <c r="E259" s="42" t="str">
        <f ca="1">'Landscape Trees '!F78</f>
        <v>6-10'</v>
      </c>
      <c r="F259" s="52">
        <f ca="1">'Landscape Trees '!G78</f>
        <v>23</v>
      </c>
      <c r="G259" s="53">
        <f ca="1">'Landscape Trees '!H78</f>
        <v>135</v>
      </c>
      <c r="H259" s="51" t="str">
        <f t="shared" ca="1" si="0"/>
        <v>Constellation Dogwood #15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Cotinus coggygria 'Royal Purple'</v>
      </c>
      <c r="B260" s="51" t="str">
        <f ca="1">'Landscape Trees '!C79</f>
        <v>Royal Purple Smokebush</v>
      </c>
      <c r="C260" s="42" t="str">
        <f ca="1">'Landscape Trees '!D79</f>
        <v>#5</v>
      </c>
      <c r="D260" s="42" t="str">
        <f ca="1">'Landscape Trees '!E79</f>
        <v>Multi</v>
      </c>
      <c r="E260" s="42" t="str">
        <f ca="1">'Landscape Trees '!F79</f>
        <v>7-9'</v>
      </c>
      <c r="F260" s="52">
        <f ca="1">'Landscape Trees '!G79</f>
        <v>12</v>
      </c>
      <c r="G260" s="53">
        <f ca="1">'Landscape Trees '!H79</f>
        <v>50</v>
      </c>
      <c r="H260" s="51" t="str">
        <f t="shared" ca="1" si="0"/>
        <v>Royal Purple Smokebush #5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Cotinus obovatus</v>
      </c>
      <c r="B261" s="51" t="str">
        <f ca="1">'Landscape Trees '!C80</f>
        <v>Smokebush (Native)</v>
      </c>
      <c r="C261" s="42" t="str">
        <f ca="1">'Landscape Trees '!D80</f>
        <v>#5</v>
      </c>
      <c r="D261" s="42" t="str">
        <f ca="1">'Landscape Trees '!E80</f>
        <v>0.5-1"</v>
      </c>
      <c r="E261" s="42" t="str">
        <f ca="1">'Landscape Trees '!F80</f>
        <v>7-10'</v>
      </c>
      <c r="F261" s="52">
        <f ca="1">'Landscape Trees '!G80</f>
        <v>63</v>
      </c>
      <c r="G261" s="53">
        <f ca="1">'Landscape Trees '!H80</f>
        <v>50</v>
      </c>
      <c r="H261" s="51" t="str">
        <f t="shared" ca="1" si="0"/>
        <v>Smokebush (Native) #5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Crataegus marshallii</v>
      </c>
      <c r="B262" s="51" t="str">
        <f ca="1">'Landscape Trees '!C81</f>
        <v>Parsley Hawthorn</v>
      </c>
      <c r="C262" s="42" t="str">
        <f ca="1">'Landscape Trees '!D81</f>
        <v>#5</v>
      </c>
      <c r="D262" s="42" t="str">
        <f ca="1">'Landscape Trees '!E81</f>
        <v>0.25-0.75"</v>
      </c>
      <c r="E262" s="42" t="str">
        <f ca="1">'Landscape Trees '!F81</f>
        <v>3-8'</v>
      </c>
      <c r="F262" s="52">
        <f ca="1">'Landscape Trees '!G81</f>
        <v>34</v>
      </c>
      <c r="G262" s="53">
        <f ca="1">'Landscape Trees '!H81</f>
        <v>50</v>
      </c>
      <c r="H262" s="51" t="str">
        <f t="shared" ca="1" si="0"/>
        <v>Parsley Hawthorn #5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Crataegus viridis 'Winter King'</v>
      </c>
      <c r="B263" s="51" t="str">
        <f ca="1">'Landscape Trees '!C82</f>
        <v>Winter King Hawthorn</v>
      </c>
      <c r="C263" s="42" t="str">
        <f ca="1">'Landscape Trees '!D82</f>
        <v>#5</v>
      </c>
      <c r="D263" s="42" t="str">
        <f ca="1">'Landscape Trees '!E82</f>
        <v>0.75-1"</v>
      </c>
      <c r="E263" s="42" t="str">
        <f ca="1">'Landscape Trees '!F82</f>
        <v>5-8'</v>
      </c>
      <c r="F263" s="52">
        <f ca="1">'Landscape Trees '!G82</f>
        <v>29</v>
      </c>
      <c r="G263" s="53">
        <f ca="1">'Landscape Trees '!H82</f>
        <v>70</v>
      </c>
      <c r="H263" s="51" t="str">
        <f t="shared" ca="1" si="0"/>
        <v>Winter King Hawthorn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Crataegus viridis 'Winter King'</v>
      </c>
      <c r="B264" s="51" t="str">
        <f ca="1">'Landscape Trees '!C83</f>
        <v>Winter King Hawthorn</v>
      </c>
      <c r="C264" s="42" t="str">
        <f ca="1">'Landscape Trees '!D83</f>
        <v>#15</v>
      </c>
      <c r="D264" s="42" t="str">
        <f ca="1">'Landscape Trees '!E83</f>
        <v>1.25-1.5"</v>
      </c>
      <c r="E264" s="42" t="str">
        <f ca="1">'Landscape Trees '!F83</f>
        <v>9-11'</v>
      </c>
      <c r="F264" s="52">
        <f ca="1">'Landscape Trees '!G83</f>
        <v>35</v>
      </c>
      <c r="G264" s="53">
        <f ca="1">'Landscape Trees '!H83</f>
        <v>135</v>
      </c>
      <c r="H264" s="51" t="str">
        <f t="shared" ca="1" si="0"/>
        <v>Winter King Hawthorn #15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Diospyros virginiana</v>
      </c>
      <c r="B265" s="51" t="str">
        <f ca="1">'Landscape Trees '!C84</f>
        <v>American Persimmon</v>
      </c>
      <c r="C265" s="42" t="str">
        <f ca="1">'Landscape Trees '!D84</f>
        <v>#7</v>
      </c>
      <c r="D265" s="42" t="str">
        <f ca="1">'Landscape Trees '!E84</f>
        <v>0.75-1"</v>
      </c>
      <c r="E265" s="42" t="str">
        <f ca="1">'Landscape Trees '!F84</f>
        <v>6-7'</v>
      </c>
      <c r="F265" s="52">
        <f ca="1">'Landscape Trees '!G84</f>
        <v>1</v>
      </c>
      <c r="G265" s="53">
        <f ca="1">'Landscape Trees '!H84</f>
        <v>50</v>
      </c>
      <c r="H265" s="51" t="str">
        <f t="shared" ca="1" si="0"/>
        <v>American Persimmon #7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Euonymus americanus</v>
      </c>
      <c r="B266" s="51" t="str">
        <f ca="1">'Landscape Trees '!C85</f>
        <v>Strawberry Bush</v>
      </c>
      <c r="C266" s="42" t="str">
        <f ca="1">'Landscape Trees '!D85</f>
        <v>#5</v>
      </c>
      <c r="D266" s="42" t="str">
        <f ca="1">'Landscape Trees '!E85</f>
        <v>Multi</v>
      </c>
      <c r="E266" s="42" t="str">
        <f ca="1">'Landscape Trees '!F85</f>
        <v>1-5'</v>
      </c>
      <c r="F266" s="52">
        <f ca="1">'Landscape Trees '!G85</f>
        <v>29</v>
      </c>
      <c r="G266" s="53">
        <f ca="1">'Landscape Trees '!H85</f>
        <v>50</v>
      </c>
      <c r="H266" s="51" t="str">
        <f t="shared" ca="1" si="0"/>
        <v>Strawberry Bush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Fagus grandiflora</v>
      </c>
      <c r="B267" s="51" t="str">
        <f ca="1">'Landscape Trees '!C86</f>
        <v>American Beech</v>
      </c>
      <c r="C267" s="42" t="str">
        <f ca="1">'Landscape Trees '!D86</f>
        <v>#5</v>
      </c>
      <c r="D267" s="42" t="str">
        <f ca="1">'Landscape Trees '!E86</f>
        <v>0.5-1"</v>
      </c>
      <c r="E267" s="42" t="str">
        <f ca="1">'Landscape Trees '!F86</f>
        <v>4-6'</v>
      </c>
      <c r="F267" s="52">
        <f ca="1">'Landscape Trees '!G86</f>
        <v>53</v>
      </c>
      <c r="G267" s="53">
        <f ca="1">'Landscape Trees '!H86</f>
        <v>70</v>
      </c>
      <c r="H267" s="51" t="str">
        <f t="shared" ref="H267:H456" ca="1" si="3">B267&amp;" "&amp;C267</f>
        <v>American Beech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Fothergilla x 'Mt. Airy'</v>
      </c>
      <c r="B268" s="51" t="str">
        <f ca="1">'Landscape Trees '!C87</f>
        <v>Mt. Airy Fothergilla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1-2'</v>
      </c>
      <c r="F268" s="52">
        <f ca="1">'Landscape Trees '!G87</f>
        <v>4</v>
      </c>
      <c r="G268" s="53">
        <f ca="1">'Landscape Trees '!H87</f>
        <v>37</v>
      </c>
      <c r="H268" s="51" t="str">
        <f t="shared" ca="1" si="3"/>
        <v>Mt. Airy Fothergilla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Ginkgo biloba 'Autumn Gold'</v>
      </c>
      <c r="B269" s="51" t="str">
        <f ca="1">'Landscape Trees '!C88</f>
        <v>Autumn Gold Ginkgo</v>
      </c>
      <c r="C269" s="42" t="str">
        <f ca="1">'Landscape Trees '!D88</f>
        <v>#5</v>
      </c>
      <c r="D269" s="42" t="str">
        <f ca="1">'Landscape Trees '!E88</f>
        <v>0.75-1"</v>
      </c>
      <c r="E269" s="42" t="str">
        <f ca="1">'Landscape Trees '!F88</f>
        <v>5-6.5'</v>
      </c>
      <c r="F269" s="52">
        <f ca="1">'Landscape Trees '!G88</f>
        <v>1</v>
      </c>
      <c r="G269" s="53">
        <f ca="1">'Landscape Trees '!H88</f>
        <v>70</v>
      </c>
      <c r="H269" s="51" t="str">
        <f t="shared" ca="1" si="3"/>
        <v>Autumn Gold Ginkgo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Ginkgo biloba 'Autumn Gold'</v>
      </c>
      <c r="B270" s="51" t="str">
        <f ca="1">'Landscape Trees '!C89</f>
        <v>Autumn Gold Ginkgo</v>
      </c>
      <c r="C270" s="42" t="str">
        <f ca="1">'Landscape Trees '!D89</f>
        <v>#7</v>
      </c>
      <c r="D270" s="42" t="str">
        <f ca="1">'Landscape Trees '!E89</f>
        <v>0.75-1"</v>
      </c>
      <c r="E270" s="42" t="str">
        <f ca="1">'Landscape Trees '!F89</f>
        <v>4-7'</v>
      </c>
      <c r="F270" s="52">
        <f ca="1">'Landscape Trees '!G89</f>
        <v>15</v>
      </c>
      <c r="G270" s="53">
        <f ca="1">'Landscape Trees '!H89</f>
        <v>70</v>
      </c>
      <c r="H270" s="51" t="str">
        <f t="shared" ca="1" si="3"/>
        <v>Autumn Gold Ginkgo #7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Ginkgo biloba 'Magyar'</v>
      </c>
      <c r="B271" s="51" t="str">
        <f ca="1">'Landscape Trees '!C90</f>
        <v>Magyar Ginkgo</v>
      </c>
      <c r="C271" s="42" t="str">
        <f ca="1">'Landscape Trees '!D90</f>
        <v>#5</v>
      </c>
      <c r="D271" s="42" t="str">
        <f ca="1">'Landscape Trees '!E90</f>
        <v>0.75-1"</v>
      </c>
      <c r="E271" s="42" t="str">
        <f ca="1">'Landscape Trees '!F90</f>
        <v>4-7'</v>
      </c>
      <c r="F271" s="52">
        <f ca="1">'Landscape Trees '!G90</f>
        <v>4</v>
      </c>
      <c r="G271" s="53">
        <f ca="1">'Landscape Trees '!H90</f>
        <v>70</v>
      </c>
      <c r="H271" s="51" t="str">
        <f t="shared" ca="1" si="3"/>
        <v>Magyar Ginkgo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Ginkgo biloba 'Magyar'</v>
      </c>
      <c r="B272" s="51" t="str">
        <f ca="1">'Landscape Trees '!C91</f>
        <v>Magyar Ginkgo</v>
      </c>
      <c r="C272" s="42" t="str">
        <f ca="1">'Landscape Trees '!D91</f>
        <v>#7</v>
      </c>
      <c r="D272" s="42" t="str">
        <f ca="1">'Landscape Trees '!E91</f>
        <v>1-1.25"</v>
      </c>
      <c r="E272" s="42" t="str">
        <f ca="1">'Landscape Trees '!F91</f>
        <v>6.5-7.5'</v>
      </c>
      <c r="F272" s="52">
        <f ca="1">'Landscape Trees '!G91</f>
        <v>3</v>
      </c>
      <c r="G272" s="53">
        <f ca="1">'Landscape Trees '!H91</f>
        <v>70</v>
      </c>
      <c r="H272" s="51" t="str">
        <f t="shared" ca="1" si="3"/>
        <v>Magyar Ginkgo #7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Ginkgo biloba 'Magyar'</v>
      </c>
      <c r="B273" s="51" t="str">
        <f ca="1">'Landscape Trees '!C92</f>
        <v>Magyar Ginkgo</v>
      </c>
      <c r="C273" s="42" t="str">
        <f ca="1">'Landscape Trees '!D92</f>
        <v>#15</v>
      </c>
      <c r="D273" s="42" t="str">
        <f ca="1">'Landscape Trees '!E92</f>
        <v>1-1.25"</v>
      </c>
      <c r="E273" s="42" t="str">
        <f ca="1">'Landscape Trees '!F92</f>
        <v>9-9.5'</v>
      </c>
      <c r="F273" s="52">
        <f ca="1">'Landscape Trees '!G92</f>
        <v>3</v>
      </c>
      <c r="G273" s="53">
        <f ca="1">'Landscape Trees '!H92</f>
        <v>135</v>
      </c>
      <c r="H273" s="51" t="str">
        <f t="shared" ca="1" si="3"/>
        <v>Magyar Ginkgo #15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Ginkgo biloba 'Princeton Sentry'</v>
      </c>
      <c r="B274" s="51" t="str">
        <f ca="1">'Landscape Trees '!C93</f>
        <v xml:space="preserve">Princeton Sentry Ginkgo </v>
      </c>
      <c r="C274" s="42" t="str">
        <f ca="1">'Landscape Trees '!D93</f>
        <v>#5</v>
      </c>
      <c r="D274" s="42" t="str">
        <f ca="1">'Landscape Trees '!E93</f>
        <v>0.5-0.75"</v>
      </c>
      <c r="E274" s="42" t="str">
        <f ca="1">'Landscape Trees '!F93</f>
        <v>3-5'</v>
      </c>
      <c r="F274" s="52">
        <f ca="1">'Landscape Trees '!G93</f>
        <v>3</v>
      </c>
      <c r="G274" s="53">
        <f ca="1">'Landscape Trees '!H93</f>
        <v>70</v>
      </c>
      <c r="H274" s="51" t="str">
        <f t="shared" ca="1" si="3"/>
        <v>Princeton Sentry Ginkgo 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Ginkgo biloba 'Princeton Sentry'</v>
      </c>
      <c r="B275" s="51" t="str">
        <f ca="1">'Landscape Trees '!C94</f>
        <v>Princeton Sentry Ginkgo</v>
      </c>
      <c r="C275" s="42" t="str">
        <f ca="1">'Landscape Trees '!D94</f>
        <v>#7</v>
      </c>
      <c r="D275" s="42" t="str">
        <f ca="1">'Landscape Trees '!E94</f>
        <v>0.5-0.75"</v>
      </c>
      <c r="E275" s="42" t="str">
        <f ca="1">'Landscape Trees '!F94</f>
        <v>3-4'</v>
      </c>
      <c r="F275" s="52">
        <f ca="1">'Landscape Trees '!G94</f>
        <v>6</v>
      </c>
      <c r="G275" s="53">
        <f ca="1">'Landscape Trees '!H94</f>
        <v>70</v>
      </c>
      <c r="H275" s="51" t="str">
        <f t="shared" ca="1" si="3"/>
        <v>Princeton Sentry Ginkgo #7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Ginkgo biloba 'Princeton Sentry'</v>
      </c>
      <c r="B276" s="51" t="str">
        <f ca="1">'Landscape Trees '!C95</f>
        <v>Princeton Sentry Ginkgo</v>
      </c>
      <c r="C276" s="42" t="str">
        <f ca="1">'Landscape Trees '!D95</f>
        <v>#10</v>
      </c>
      <c r="D276" s="42" t="str">
        <f ca="1">'Landscape Trees '!E95</f>
        <v>0.75-1"</v>
      </c>
      <c r="E276" s="42" t="str">
        <f ca="1">'Landscape Trees '!F95</f>
        <v>5-7'</v>
      </c>
      <c r="F276" s="52">
        <f ca="1">'Landscape Trees '!G95</f>
        <v>3</v>
      </c>
      <c r="G276" s="53">
        <f ca="1">'Landscape Trees '!H95</f>
        <v>100</v>
      </c>
      <c r="H276" s="51" t="str">
        <f t="shared" ca="1" si="3"/>
        <v>Princeton Sentry Ginkgo #10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Ginkgo biloba 'Princeton Sentry'</v>
      </c>
      <c r="B277" s="51" t="str">
        <f ca="1">'Landscape Trees '!C96</f>
        <v xml:space="preserve">Princeton Sentry Ginkgo </v>
      </c>
      <c r="C277" s="42" t="str">
        <f ca="1">'Landscape Trees '!D96</f>
        <v>#15</v>
      </c>
      <c r="D277" s="42" t="str">
        <f ca="1">'Landscape Trees '!E96</f>
        <v>1-1.25"</v>
      </c>
      <c r="E277" s="42" t="str">
        <f ca="1">'Landscape Trees '!F96</f>
        <v>8-9'</v>
      </c>
      <c r="F277" s="52">
        <f ca="1">'Landscape Trees '!G96</f>
        <v>7</v>
      </c>
      <c r="G277" s="53">
        <f ca="1">'Landscape Trees '!H96</f>
        <v>135</v>
      </c>
      <c r="H277" s="51" t="str">
        <f t="shared" ca="1" si="3"/>
        <v>Princeton Sentry Ginkgo  #15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Ginkgo biloba 'Windover Gold'</v>
      </c>
      <c r="B278" s="51" t="str">
        <f ca="1">'Landscape Trees '!C97</f>
        <v>Windover Gold Ginkgo</v>
      </c>
      <c r="C278" s="42" t="str">
        <f ca="1">'Landscape Trees '!D97</f>
        <v>#15</v>
      </c>
      <c r="D278" s="42" t="str">
        <f ca="1">'Landscape Trees '!E97</f>
        <v>1-1.25"</v>
      </c>
      <c r="E278" s="42" t="str">
        <f ca="1">'Landscape Trees '!F97</f>
        <v>6-9'</v>
      </c>
      <c r="F278" s="52">
        <f ca="1">'Landscape Trees '!G97</f>
        <v>4</v>
      </c>
      <c r="G278" s="53">
        <f ca="1">'Landscape Trees '!H97</f>
        <v>135</v>
      </c>
      <c r="H278" s="51" t="str">
        <f t="shared" ca="1" si="3"/>
        <v>Windover Gold Ginkgo #15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Gleditsia triacanthos 'Skyline'</v>
      </c>
      <c r="B279" s="51" t="str">
        <f ca="1">'Landscape Trees '!C98</f>
        <v>Skyline Honeylocust</v>
      </c>
      <c r="C279" s="42" t="str">
        <f ca="1">'Landscape Trees '!D98</f>
        <v>#10</v>
      </c>
      <c r="D279" s="42" t="str">
        <f ca="1">'Landscape Trees '!E98</f>
        <v>1.25-1.25"</v>
      </c>
      <c r="E279" s="42" t="str">
        <f ca="1">'Landscape Trees '!F98</f>
        <v>10-10'</v>
      </c>
      <c r="F279" s="52">
        <f ca="1">'Landscape Trees '!G98</f>
        <v>1</v>
      </c>
      <c r="G279" s="53">
        <f ca="1">'Landscape Trees '!H98</f>
        <v>100</v>
      </c>
      <c r="H279" s="51" t="str">
        <f t="shared" ca="1" si="3"/>
        <v>Skyline Honeylocust #10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Gleditsia triacanthos 'Skyline'</v>
      </c>
      <c r="B280" s="51" t="str">
        <f ca="1">'Landscape Trees '!C99</f>
        <v>Skyline Honeylocust</v>
      </c>
      <c r="C280" s="42" t="str">
        <f ca="1">'Landscape Trees '!D99</f>
        <v>#15</v>
      </c>
      <c r="D280" s="42" t="str">
        <f ca="1">'Landscape Trees '!E99</f>
        <v>1-1.5"</v>
      </c>
      <c r="E280" s="42" t="str">
        <f ca="1">'Landscape Trees '!F99</f>
        <v>10-14'</v>
      </c>
      <c r="F280" s="52">
        <f ca="1">'Landscape Trees '!G99</f>
        <v>25</v>
      </c>
      <c r="G280" s="53">
        <f ca="1">'Landscape Trees '!H99</f>
        <v>135</v>
      </c>
      <c r="H280" s="51" t="str">
        <f t="shared" ca="1" si="3"/>
        <v>Skyline Honeylocust #15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Gymnocladus dioicus</v>
      </c>
      <c r="B281" s="51" t="str">
        <f ca="1">'Landscape Trees '!C100</f>
        <v>Kentucky Coffeetree</v>
      </c>
      <c r="C281" s="42" t="str">
        <f ca="1">'Landscape Trees '!D100</f>
        <v>#5</v>
      </c>
      <c r="D281" s="42" t="str">
        <f ca="1">'Landscape Trees '!E100</f>
        <v>0.5-1.25"</v>
      </c>
      <c r="E281" s="42" t="str">
        <f ca="1">'Landscape Trees '!F100</f>
        <v>4-7'</v>
      </c>
      <c r="F281" s="52">
        <f ca="1">'Landscape Trees '!G100</f>
        <v>111</v>
      </c>
      <c r="G281" s="53">
        <f ca="1">'Landscape Trees '!H100</f>
        <v>40</v>
      </c>
      <c r="H281" s="51" t="str">
        <f t="shared" ca="1" si="3"/>
        <v>Kentucky Coffeetree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Gymnocladus dioicus</v>
      </c>
      <c r="B282" s="51" t="str">
        <f ca="1">'Landscape Trees '!C101</f>
        <v>Kentucky Coffeetree</v>
      </c>
      <c r="C282" s="42" t="str">
        <f ca="1">'Landscape Trees '!D101</f>
        <v>#15</v>
      </c>
      <c r="D282" s="42" t="str">
        <f ca="1">'Landscape Trees '!E101</f>
        <v>1-1.5"</v>
      </c>
      <c r="E282" s="42" t="str">
        <f ca="1">'Landscape Trees '!F101</f>
        <v>9-12'</v>
      </c>
      <c r="F282" s="52">
        <f ca="1">'Landscape Trees '!G101</f>
        <v>27</v>
      </c>
      <c r="G282" s="53">
        <f ca="1">'Landscape Trees '!H101</f>
        <v>135</v>
      </c>
      <c r="H282" s="51" t="str">
        <f t="shared" ca="1" si="3"/>
        <v>Kentucky Coffeetree #15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Gymnocladus dioicus</v>
      </c>
      <c r="B283" s="51" t="str">
        <f ca="1">'Landscape Trees '!C102</f>
        <v>Kentucky Coffeetree</v>
      </c>
      <c r="C283" s="42" t="str">
        <f ca="1">'Landscape Trees '!D102</f>
        <v>#25</v>
      </c>
      <c r="D283" s="42" t="str">
        <f ca="1">'Landscape Trees '!E102</f>
        <v>1.5-1.5"</v>
      </c>
      <c r="E283" s="42" t="str">
        <f ca="1">'Landscape Trees '!F102</f>
        <v>11-11'</v>
      </c>
      <c r="F283" s="52">
        <f ca="1">'Landscape Trees '!G102</f>
        <v>1</v>
      </c>
      <c r="G283" s="53">
        <f ca="1">'Landscape Trees '!H102</f>
        <v>150</v>
      </c>
      <c r="H283" s="51" t="str">
        <f t="shared" ca="1" si="3"/>
        <v>Kentucky Coffeetree #25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 xml:space="preserve">Gymnocladus dioicus </v>
      </c>
      <c r="B284" s="51" t="str">
        <f ca="1">'Landscape Trees '!C103</f>
        <v xml:space="preserve">Kentucky Coffeetree (Cultivar) </v>
      </c>
      <c r="C284" s="42" t="str">
        <f ca="1">'Landscape Trees '!D103</f>
        <v>#15</v>
      </c>
      <c r="D284" s="42" t="str">
        <f ca="1">'Landscape Trees '!E103</f>
        <v>1.25-1.25"</v>
      </c>
      <c r="E284" s="42" t="str">
        <f ca="1">'Landscape Trees '!F103</f>
        <v>11-14'</v>
      </c>
      <c r="F284" s="52">
        <f ca="1">'Landscape Trees '!G103</f>
        <v>3</v>
      </c>
      <c r="G284" s="53">
        <f ca="1">'Landscape Trees '!H103</f>
        <v>135</v>
      </c>
      <c r="H284" s="51" t="str">
        <f t="shared" ca="1" si="3"/>
        <v>Kentucky Coffeetree (Cultivar)  #15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 xml:space="preserve">Gymnocladus dioicus </v>
      </c>
      <c r="B285" s="51" t="str">
        <f ca="1">'Landscape Trees '!C104</f>
        <v xml:space="preserve">Kentucky Coffeetree (Cultivar) </v>
      </c>
      <c r="C285" s="42" t="str">
        <f ca="1">'Landscape Trees '!D104</f>
        <v>#25</v>
      </c>
      <c r="D285" s="42" t="str">
        <f ca="1">'Landscape Trees '!E104</f>
        <v>1.25-1.5"</v>
      </c>
      <c r="E285" s="42" t="str">
        <f ca="1">'Landscape Trees '!F104</f>
        <v>11-14'</v>
      </c>
      <c r="F285" s="52">
        <f ca="1">'Landscape Trees '!G104</f>
        <v>4</v>
      </c>
      <c r="G285" s="53">
        <f ca="1">'Landscape Trees '!H104</f>
        <v>150</v>
      </c>
      <c r="H285" s="51" t="str">
        <f t="shared" ca="1" si="3"/>
        <v>Kentucky Coffeetree (Cultivar)  #25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Hamamelis virginiana</v>
      </c>
      <c r="B286" s="51" t="str">
        <f ca="1">'Landscape Trees '!C105</f>
        <v>Witch Hazel</v>
      </c>
      <c r="C286" s="42" t="str">
        <f ca="1">'Landscape Trees '!D105</f>
        <v>#5</v>
      </c>
      <c r="D286" s="42" t="str">
        <f ca="1">'Landscape Trees '!E105</f>
        <v>0.25-0.25"</v>
      </c>
      <c r="E286" s="42" t="str">
        <f ca="1">'Landscape Trees '!F105</f>
        <v>2-4'</v>
      </c>
      <c r="F286" s="52">
        <f ca="1">'Landscape Trees '!G105</f>
        <v>56</v>
      </c>
      <c r="G286" s="53">
        <f ca="1">'Landscape Trees '!H105</f>
        <v>50</v>
      </c>
      <c r="H286" s="51" t="str">
        <f t="shared" ca="1" si="3"/>
        <v>Witch Hazel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Hydrangea que. 'Ruby slippers'</v>
      </c>
      <c r="B287" s="51" t="str">
        <f ca="1">'Landscape Trees '!C106</f>
        <v>Ruby Slippers Oakleaf Hydrangea</v>
      </c>
      <c r="C287" s="42" t="str">
        <f ca="1">'Landscape Trees '!D106</f>
        <v>#5</v>
      </c>
      <c r="D287" s="42" t="str">
        <f ca="1">'Landscape Trees '!E106</f>
        <v>Multi</v>
      </c>
      <c r="E287" s="42" t="str">
        <f ca="1">'Landscape Trees '!F106</f>
        <v>2-2.5'</v>
      </c>
      <c r="F287" s="52">
        <f ca="1">'Landscape Trees '!G106</f>
        <v>20</v>
      </c>
      <c r="G287" s="53">
        <f ca="1">'Landscape Trees '!H106</f>
        <v>37</v>
      </c>
      <c r="H287" s="51" t="str">
        <f t="shared" ca="1" si="3"/>
        <v>Ruby Slippers Oakleaf Hydrangea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Hydrangea que. 'Snow Queen'</v>
      </c>
      <c r="B288" s="51" t="str">
        <f ca="1">'Landscape Trees '!C107</f>
        <v>Snow Queen Oakleaf Hydrangea</v>
      </c>
      <c r="C288" s="42" t="str">
        <f ca="1">'Landscape Trees '!D107</f>
        <v>#5</v>
      </c>
      <c r="D288" s="42" t="str">
        <f ca="1">'Landscape Trees '!E107</f>
        <v>Multi</v>
      </c>
      <c r="E288" s="42" t="str">
        <f ca="1">'Landscape Trees '!F107</f>
        <v>3-4'</v>
      </c>
      <c r="F288" s="52">
        <f ca="1">'Landscape Trees '!G107</f>
        <v>49</v>
      </c>
      <c r="G288" s="53">
        <f ca="1">'Landscape Trees '!H107</f>
        <v>37</v>
      </c>
      <c r="H288" s="51" t="str">
        <f t="shared" ca="1" si="3"/>
        <v>Snow Queen Oakleaf Hydrangea #5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Ilex glabra</v>
      </c>
      <c r="B289" s="51" t="str">
        <f ca="1">'Landscape Trees '!C108</f>
        <v>Inkberry</v>
      </c>
      <c r="C289" s="42" t="str">
        <f ca="1">'Landscape Trees '!D108</f>
        <v>#5</v>
      </c>
      <c r="D289" s="42" t="str">
        <f ca="1">'Landscape Trees '!E108</f>
        <v>Multi</v>
      </c>
      <c r="E289" s="42" t="str">
        <f ca="1">'Landscape Trees '!F108</f>
        <v>1-2.5'</v>
      </c>
      <c r="F289" s="52">
        <f ca="1">'Landscape Trees '!G108</f>
        <v>16</v>
      </c>
      <c r="G289" s="53">
        <f ca="1">'Landscape Trees '!H108</f>
        <v>37</v>
      </c>
      <c r="H289" s="51" t="str">
        <f t="shared" ca="1" si="3"/>
        <v>Inkberry #5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Ilex glabra 'Shamrock'</v>
      </c>
      <c r="B290" s="51" t="str">
        <f ca="1">'Landscape Trees '!C109</f>
        <v>Shamrock Holly</v>
      </c>
      <c r="C290" s="42" t="str">
        <f ca="1">'Landscape Trees '!D109</f>
        <v>#5</v>
      </c>
      <c r="D290" s="42" t="str">
        <f ca="1">'Landscape Trees '!E109</f>
        <v>Multi</v>
      </c>
      <c r="E290" s="42" t="str">
        <f ca="1">'Landscape Trees '!F109</f>
        <v>1.5-1.5'</v>
      </c>
      <c r="F290" s="52">
        <f ca="1">'Landscape Trees '!G109</f>
        <v>1</v>
      </c>
      <c r="G290" s="53">
        <f ca="1">'Landscape Trees '!H109</f>
        <v>37</v>
      </c>
      <c r="H290" s="51" t="str">
        <f t="shared" ca="1" si="3"/>
        <v>Shamrock Holly #5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Laburnum anagyroides</v>
      </c>
      <c r="B291" s="51" t="str">
        <f ca="1">'Landscape Trees '!C110</f>
        <v>Golden Chain Tree</v>
      </c>
      <c r="C291" s="42" t="str">
        <f ca="1">'Landscape Trees '!D110</f>
        <v>#5</v>
      </c>
      <c r="D291" s="42" t="str">
        <f ca="1">'Landscape Trees '!E110</f>
        <v>Multi</v>
      </c>
      <c r="E291" s="42" t="str">
        <f ca="1">'Landscape Trees '!F110</f>
        <v>6-6'</v>
      </c>
      <c r="F291" s="52">
        <f ca="1">'Landscape Trees '!G110</f>
        <v>1</v>
      </c>
      <c r="G291" s="53">
        <f ca="1">'Landscape Trees '!H110</f>
        <v>50</v>
      </c>
      <c r="H291" s="51" t="str">
        <f t="shared" ca="1" si="3"/>
        <v>Golden Chain Tree #5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Liquidambar styraciflua</v>
      </c>
      <c r="B292" s="51" t="str">
        <f ca="1">'Landscape Trees '!C111</f>
        <v>Sweet Gum</v>
      </c>
      <c r="C292" s="42" t="str">
        <f ca="1">'Landscape Trees '!D111</f>
        <v>#5</v>
      </c>
      <c r="D292" s="42" t="str">
        <f ca="1">'Landscape Trees '!E111</f>
        <v>0.5-1"</v>
      </c>
      <c r="E292" s="42" t="str">
        <f ca="1">'Landscape Trees '!F111</f>
        <v>4-7'</v>
      </c>
      <c r="F292" s="52">
        <f ca="1">'Landscape Trees '!G111</f>
        <v>100</v>
      </c>
      <c r="G292" s="53">
        <f ca="1">'Landscape Trees '!H111</f>
        <v>50</v>
      </c>
      <c r="H292" s="51" t="str">
        <f t="shared" ca="1" si="3"/>
        <v>Sweet Gum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Liquidambar styraciflua 'Hapdell' Happidaze</v>
      </c>
      <c r="B293" s="51" t="str">
        <f ca="1">'Landscape Trees '!C112</f>
        <v>Happidaze Sweetgum</v>
      </c>
      <c r="C293" s="42" t="str">
        <f ca="1">'Landscape Trees '!D112</f>
        <v>#10</v>
      </c>
      <c r="D293" s="42" t="str">
        <f ca="1">'Landscape Trees '!E112</f>
        <v>0.75-1.25"</v>
      </c>
      <c r="E293" s="42" t="str">
        <f ca="1">'Landscape Trees '!F112</f>
        <v>5-7'</v>
      </c>
      <c r="F293" s="52">
        <f ca="1">'Landscape Trees '!G112</f>
        <v>6</v>
      </c>
      <c r="G293" s="53">
        <f ca="1">'Landscape Trees '!H112</f>
        <v>100</v>
      </c>
      <c r="H293" s="51" t="str">
        <f t="shared" ca="1" si="3"/>
        <v>Happidaze Sweetgum #10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Liquidambar styraciflua 'Silver King'</v>
      </c>
      <c r="B294" s="51" t="str">
        <f ca="1">'Landscape Trees '!C113</f>
        <v>Silver King Sweet Gum</v>
      </c>
      <c r="C294" s="42" t="str">
        <f ca="1">'Landscape Trees '!D113</f>
        <v>#10</v>
      </c>
      <c r="D294" s="42" t="str">
        <f ca="1">'Landscape Trees '!E113</f>
        <v>1-1.25"</v>
      </c>
      <c r="E294" s="42" t="str">
        <f ca="1">'Landscape Trees '!F113</f>
        <v>6-7'</v>
      </c>
      <c r="F294" s="52">
        <f ca="1">'Landscape Trees '!G113</f>
        <v>9</v>
      </c>
      <c r="G294" s="53">
        <f ca="1">'Landscape Trees '!H113</f>
        <v>100</v>
      </c>
      <c r="H294" s="51" t="str">
        <f t="shared" ca="1" si="3"/>
        <v>Silver King Sweet Gum #10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Liquidambar styraciflua 'Worplesdon'</v>
      </c>
      <c r="B295" s="51" t="str">
        <f ca="1">'Landscape Trees '!C114</f>
        <v>Worplesdon Sweetgum</v>
      </c>
      <c r="C295" s="42" t="str">
        <f ca="1">'Landscape Trees '!D114</f>
        <v>#15</v>
      </c>
      <c r="D295" s="42" t="str">
        <f ca="1">'Landscape Trees '!E114</f>
        <v>1.25-1.25"</v>
      </c>
      <c r="E295" s="42" t="str">
        <f ca="1">'Landscape Trees '!F114</f>
        <v>8-8.5'</v>
      </c>
      <c r="F295" s="52">
        <f ca="1">'Landscape Trees '!G114</f>
        <v>2</v>
      </c>
      <c r="G295" s="53">
        <f ca="1">'Landscape Trees '!H114</f>
        <v>135</v>
      </c>
      <c r="H295" s="51" t="str">
        <f t="shared" ca="1" si="3"/>
        <v>Worplesdon Sweetgum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Liriodendron tulipifera</v>
      </c>
      <c r="B296" s="51" t="str">
        <f ca="1">'Landscape Trees '!C115</f>
        <v>Tulip Poplar</v>
      </c>
      <c r="C296" s="42" t="str">
        <f ca="1">'Landscape Trees '!D115</f>
        <v>#5</v>
      </c>
      <c r="D296" s="42" t="str">
        <f ca="1">'Landscape Trees '!E115</f>
        <v>0.5-1"</v>
      </c>
      <c r="E296" s="42" t="str">
        <f ca="1">'Landscape Trees '!F115</f>
        <v>4-9'</v>
      </c>
      <c r="F296" s="52">
        <f ca="1">'Landscape Trees '!G115</f>
        <v>104</v>
      </c>
      <c r="G296" s="53">
        <f ca="1">'Landscape Trees '!H115</f>
        <v>50</v>
      </c>
      <c r="H296" s="51" t="str">
        <f t="shared" ca="1" si="3"/>
        <v>Tulip Poplar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Magnolia 'Galaxy'</v>
      </c>
      <c r="B297" s="51" t="str">
        <f ca="1">'Landscape Trees '!C116</f>
        <v>Galaxy Magnolia</v>
      </c>
      <c r="C297" s="42" t="str">
        <f ca="1">'Landscape Trees '!D116</f>
        <v>#5</v>
      </c>
      <c r="D297" s="42" t="str">
        <f ca="1">'Landscape Trees '!E116</f>
        <v>0.5-0.75"</v>
      </c>
      <c r="E297" s="42" t="str">
        <f ca="1">'Landscape Trees '!F116</f>
        <v>4-5'</v>
      </c>
      <c r="F297" s="52">
        <f ca="1">'Landscape Trees '!G116</f>
        <v>12</v>
      </c>
      <c r="G297" s="53">
        <f ca="1">'Landscape Trees '!H116</f>
        <v>70</v>
      </c>
      <c r="H297" s="51" t="str">
        <f t="shared" ca="1" si="3"/>
        <v>Galaxy Magnolia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Magnolia ashei</v>
      </c>
      <c r="B298" s="51" t="str">
        <f ca="1">'Landscape Trees '!C117</f>
        <v>Ashe's Magnolia</v>
      </c>
      <c r="C298" s="42" t="str">
        <f ca="1">'Landscape Trees '!D117</f>
        <v>#5</v>
      </c>
      <c r="D298" s="42" t="str">
        <f ca="1">'Landscape Trees '!E117</f>
        <v>0.5-0.5"</v>
      </c>
      <c r="E298" s="42" t="str">
        <f ca="1">'Landscape Trees '!F117</f>
        <v>2-5'</v>
      </c>
      <c r="F298" s="52">
        <f ca="1">'Landscape Trees '!G117</f>
        <v>21</v>
      </c>
      <c r="G298" s="53">
        <f ca="1">'Landscape Trees '!H117</f>
        <v>50</v>
      </c>
      <c r="H298" s="51" t="str">
        <f t="shared" ca="1" si="3"/>
        <v>Ashe's Magnolia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Magnolia macrophylla</v>
      </c>
      <c r="B299" s="51" t="str">
        <f ca="1">'Landscape Trees '!C118</f>
        <v>Bigleaf Magnolia</v>
      </c>
      <c r="C299" s="42" t="str">
        <f ca="1">'Landscape Trees '!D118</f>
        <v>#5</v>
      </c>
      <c r="D299" s="42" t="str">
        <f ca="1">'Landscape Trees '!E118</f>
        <v>0.25-0.5"</v>
      </c>
      <c r="E299" s="42" t="str">
        <f ca="1">'Landscape Trees '!F118</f>
        <v>2-4'</v>
      </c>
      <c r="F299" s="52">
        <f ca="1">'Landscape Trees '!G118</f>
        <v>26</v>
      </c>
      <c r="G299" s="53">
        <f ca="1">'Landscape Trees '!H118</f>
        <v>70</v>
      </c>
      <c r="H299" s="51" t="str">
        <f t="shared" ca="1" si="3"/>
        <v>Bigleaf Magnolia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Magnolia virginiana</v>
      </c>
      <c r="B300" s="51" t="str">
        <f ca="1">'Landscape Trees '!C119</f>
        <v>Sweet Bay Magnolia</v>
      </c>
      <c r="C300" s="42" t="str">
        <f ca="1">'Landscape Trees '!D119</f>
        <v>#5</v>
      </c>
      <c r="D300" s="42" t="str">
        <f ca="1">'Landscape Trees '!E119</f>
        <v>0.5-1"</v>
      </c>
      <c r="E300" s="42" t="str">
        <f ca="1">'Landscape Trees '!F119</f>
        <v>4-6'</v>
      </c>
      <c r="F300" s="52">
        <f ca="1">'Landscape Trees '!G119</f>
        <v>102</v>
      </c>
      <c r="G300" s="53">
        <f ca="1">'Landscape Trees '!H119</f>
        <v>50</v>
      </c>
      <c r="H300" s="51" t="str">
        <f t="shared" ca="1" si="3"/>
        <v>Sweet Bay Magnolia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Magnolia virginiana 'Moonglow'</v>
      </c>
      <c r="B301" s="51" t="str">
        <f ca="1">'Landscape Trees '!C120</f>
        <v>Moonglow Magnolia</v>
      </c>
      <c r="C301" s="42" t="str">
        <f ca="1">'Landscape Trees '!D120</f>
        <v>#5</v>
      </c>
      <c r="D301" s="42" t="str">
        <f ca="1">'Landscape Trees '!E120</f>
        <v>0.5-0.75"</v>
      </c>
      <c r="E301" s="42" t="str">
        <f ca="1">'Landscape Trees '!F120</f>
        <v>3-6'</v>
      </c>
      <c r="F301" s="52">
        <f ca="1">'Landscape Trees '!G120</f>
        <v>17</v>
      </c>
      <c r="G301" s="53">
        <f ca="1">'Landscape Trees '!H120</f>
        <v>50</v>
      </c>
      <c r="H301" s="51" t="str">
        <f t="shared" ca="1" si="3"/>
        <v>Moonglow Magnolia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Magnolia x 'Ann'</v>
      </c>
      <c r="B302" s="51" t="str">
        <f ca="1">'Landscape Trees '!C121</f>
        <v>Ann Magnolia</v>
      </c>
      <c r="C302" s="42" t="str">
        <f ca="1">'Landscape Trees '!D121</f>
        <v>#5</v>
      </c>
      <c r="D302" s="42" t="str">
        <f ca="1">'Landscape Trees '!E121</f>
        <v>Multi</v>
      </c>
      <c r="E302" s="42" t="str">
        <f ca="1">'Landscape Trees '!F121</f>
        <v>4-5'</v>
      </c>
      <c r="F302" s="52">
        <f ca="1">'Landscape Trees '!G121</f>
        <v>6</v>
      </c>
      <c r="G302" s="53">
        <f ca="1">'Landscape Trees '!H121</f>
        <v>70</v>
      </c>
      <c r="H302" s="51" t="str">
        <f t="shared" ca="1" si="3"/>
        <v>Ann Magnolia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Magnolia x 'Jane'</v>
      </c>
      <c r="B303" s="51" t="str">
        <f ca="1">'Landscape Trees '!C122</f>
        <v>Jane Magnolia</v>
      </c>
      <c r="C303" s="42" t="str">
        <f ca="1">'Landscape Trees '!D122</f>
        <v>#5</v>
      </c>
      <c r="D303" s="42" t="str">
        <f ca="1">'Landscape Trees '!E122</f>
        <v>0.5-0.75"</v>
      </c>
      <c r="E303" s="42" t="str">
        <f ca="1">'Landscape Trees '!F122</f>
        <v>4-5'</v>
      </c>
      <c r="F303" s="52">
        <f ca="1">'Landscape Trees '!G122</f>
        <v>11</v>
      </c>
      <c r="G303" s="53">
        <f ca="1">'Landscape Trees '!H122</f>
        <v>70</v>
      </c>
      <c r="H303" s="51" t="str">
        <f t="shared" ca="1" si="3"/>
        <v>Jane Magnolia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Malus 'Prairifire'</v>
      </c>
      <c r="B304" s="51" t="str">
        <f ca="1">'Landscape Trees '!C123</f>
        <v>Prairifire Crabapple</v>
      </c>
      <c r="C304" s="42" t="str">
        <f ca="1">'Landscape Trees '!D123</f>
        <v>#5</v>
      </c>
      <c r="D304" s="42" t="str">
        <f ca="1">'Landscape Trees '!E123</f>
        <v>0.75-1"</v>
      </c>
      <c r="E304" s="42" t="str">
        <f ca="1">'Landscape Trees '!F123</f>
        <v>6-7'</v>
      </c>
      <c r="F304" s="52">
        <f ca="1">'Landscape Trees '!G123</f>
        <v>12</v>
      </c>
      <c r="G304" s="53">
        <f ca="1">'Landscape Trees '!H123</f>
        <v>50</v>
      </c>
      <c r="H304" s="51" t="str">
        <f t="shared" ca="1" si="3"/>
        <v>Prairifire Crabapple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Malus 'Prairifire'</v>
      </c>
      <c r="B305" s="51" t="str">
        <f ca="1">'Landscape Trees '!C124</f>
        <v>Prairifire Crabapple</v>
      </c>
      <c r="C305" s="42" t="str">
        <f ca="1">'Landscape Trees '!D124</f>
        <v>#15</v>
      </c>
      <c r="D305" s="42" t="str">
        <f ca="1">'Landscape Trees '!E124</f>
        <v>1-1.25"</v>
      </c>
      <c r="E305" s="42" t="str">
        <f ca="1">'Landscape Trees '!F124</f>
        <v>8-9'</v>
      </c>
      <c r="F305" s="52">
        <f ca="1">'Landscape Trees '!G124</f>
        <v>3</v>
      </c>
      <c r="G305" s="53">
        <f ca="1">'Landscape Trees '!H124</f>
        <v>135</v>
      </c>
      <c r="H305" s="51" t="str">
        <f t="shared" ca="1" si="3"/>
        <v>Prairifire Crabapple #15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Malus 'Sugar Tyme'</v>
      </c>
      <c r="B306" s="51" t="str">
        <f ca="1">'Landscape Trees '!C125</f>
        <v>Sugar Tyme Crabapple</v>
      </c>
      <c r="C306" s="42" t="str">
        <f ca="1">'Landscape Trees '!D125</f>
        <v>#15</v>
      </c>
      <c r="D306" s="42" t="str">
        <f ca="1">'Landscape Trees '!E125</f>
        <v>1-1.25"</v>
      </c>
      <c r="E306" s="42" t="str">
        <f ca="1">'Landscape Trees '!F125</f>
        <v>8-10'</v>
      </c>
      <c r="F306" s="52">
        <f ca="1">'Landscape Trees '!G125</f>
        <v>16</v>
      </c>
      <c r="G306" s="53">
        <f ca="1">'Landscape Trees '!H125</f>
        <v>135</v>
      </c>
      <c r="H306" s="51" t="str">
        <f t="shared" ca="1" si="3"/>
        <v>Sugar Tyme Crabapple #15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Malus dolgo</v>
      </c>
      <c r="B307" s="51" t="str">
        <f ca="1">'Landscape Trees '!C126</f>
        <v>Dolgo Crabapple</v>
      </c>
      <c r="C307" s="42" t="str">
        <f ca="1">'Landscape Trees '!D126</f>
        <v>#5</v>
      </c>
      <c r="D307" s="42" t="str">
        <f ca="1">'Landscape Trees '!E126</f>
        <v>0.5-0.75"</v>
      </c>
      <c r="E307" s="42" t="str">
        <f ca="1">'Landscape Trees '!F126</f>
        <v>4-7'</v>
      </c>
      <c r="F307" s="52">
        <f ca="1">'Landscape Trees '!G126</f>
        <v>29</v>
      </c>
      <c r="G307" s="53">
        <f ca="1">'Landscape Trees '!H126</f>
        <v>50</v>
      </c>
      <c r="H307" s="51" t="str">
        <f t="shared" ca="1" si="3"/>
        <v>Dolgo Crabapple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Metasequoia glyptostroboides</v>
      </c>
      <c r="B308" s="51" t="str">
        <f ca="1">'Landscape Trees '!C127</f>
        <v>Dawn Redwood</v>
      </c>
      <c r="C308" s="42" t="str">
        <f ca="1">'Landscape Trees '!D127</f>
        <v>#5</v>
      </c>
      <c r="D308" s="42" t="str">
        <f ca="1">'Landscape Trees '!E127</f>
        <v>1-1.75"</v>
      </c>
      <c r="E308" s="42" t="str">
        <f ca="1">'Landscape Trees '!F127</f>
        <v>5-10'</v>
      </c>
      <c r="F308" s="52">
        <f ca="1">'Landscape Trees '!G127</f>
        <v>215</v>
      </c>
      <c r="G308" s="53">
        <f ca="1">'Landscape Trees '!H127</f>
        <v>50</v>
      </c>
      <c r="H308" s="51" t="str">
        <f t="shared" ca="1" si="3"/>
        <v>Dawn Redwood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Metasequoia glyptostroboides</v>
      </c>
      <c r="B309" s="51" t="str">
        <f ca="1">'Landscape Trees '!C128</f>
        <v>Dawn Redwood</v>
      </c>
      <c r="C309" s="42" t="str">
        <f ca="1">'Landscape Trees '!D128</f>
        <v>#25</v>
      </c>
      <c r="D309" s="42" t="str">
        <f ca="1">'Landscape Trees '!E128</f>
        <v>1-1.5"</v>
      </c>
      <c r="E309" s="42" t="str">
        <f ca="1">'Landscape Trees '!F128</f>
        <v>7-9'</v>
      </c>
      <c r="F309" s="52">
        <f ca="1">'Landscape Trees '!G128</f>
        <v>10</v>
      </c>
      <c r="G309" s="53">
        <f ca="1">'Landscape Trees '!H128</f>
        <v>150</v>
      </c>
      <c r="H309" s="51" t="str">
        <f t="shared" ca="1" si="3"/>
        <v>Dawn Redwood #25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Myrica pennsylvanica</v>
      </c>
      <c r="B310" s="51" t="str">
        <f ca="1">'Landscape Trees '!C129</f>
        <v>Bayberry</v>
      </c>
      <c r="C310" s="42" t="str">
        <f ca="1">'Landscape Trees '!D129</f>
        <v>#5</v>
      </c>
      <c r="D310" s="42" t="str">
        <f ca="1">'Landscape Trees '!E129</f>
        <v>Multi</v>
      </c>
      <c r="E310" s="42" t="str">
        <f ca="1">'Landscape Trees '!F129</f>
        <v>2-3'</v>
      </c>
      <c r="F310" s="52">
        <f ca="1">'Landscape Trees '!G129</f>
        <v>105</v>
      </c>
      <c r="G310" s="53">
        <f ca="1">'Landscape Trees '!H129</f>
        <v>37</v>
      </c>
      <c r="H310" s="51" t="str">
        <f t="shared" ca="1" si="3"/>
        <v>Bayberry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Nyssa sylvatica</v>
      </c>
      <c r="B311" s="51" t="str">
        <f ca="1">'Landscape Trees '!C130</f>
        <v>Black Gum</v>
      </c>
      <c r="C311" s="42" t="str">
        <f ca="1">'Landscape Trees '!D130</f>
        <v>#5</v>
      </c>
      <c r="D311" s="42" t="str">
        <f ca="1">'Landscape Trees '!E130</f>
        <v>0.25-1"</v>
      </c>
      <c r="E311" s="42" t="str">
        <f ca="1">'Landscape Trees '!F130</f>
        <v>3.5-5'</v>
      </c>
      <c r="F311" s="52">
        <f ca="1">'Landscape Trees '!G130</f>
        <v>206</v>
      </c>
      <c r="G311" s="53">
        <f ca="1">'Landscape Trees '!H130</f>
        <v>50</v>
      </c>
      <c r="H311" s="51" t="str">
        <f t="shared" ca="1" si="3"/>
        <v>Black Gum #5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Nyssa sylvatica 'Green Gable'</v>
      </c>
      <c r="B312" s="51" t="str">
        <f ca="1">'Landscape Trees '!C131</f>
        <v>Green Gable Black Gum</v>
      </c>
      <c r="C312" s="42" t="str">
        <f ca="1">'Landscape Trees '!D131</f>
        <v>#5</v>
      </c>
      <c r="D312" s="42" t="str">
        <f ca="1">'Landscape Trees '!E131</f>
        <v>0.75-1"</v>
      </c>
      <c r="E312" s="42" t="str">
        <f ca="1">'Landscape Trees '!F131</f>
        <v>6.5-7.5'</v>
      </c>
      <c r="F312" s="52">
        <f ca="1">'Landscape Trees '!G131</f>
        <v>8</v>
      </c>
      <c r="G312" s="53">
        <f ca="1">'Landscape Trees '!H131</f>
        <v>70</v>
      </c>
      <c r="H312" s="51" t="str">
        <f t="shared" ca="1" si="3"/>
        <v>Green Gable Black Gum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Nyssa sylvatica 'Wildfire'</v>
      </c>
      <c r="B313" s="51" t="str">
        <f ca="1">'Landscape Trees '!C132</f>
        <v>Wildfire Black Gum</v>
      </c>
      <c r="C313" s="42" t="str">
        <f ca="1">'Landscape Trees '!D132</f>
        <v>#5</v>
      </c>
      <c r="D313" s="42" t="str">
        <f ca="1">'Landscape Trees '!E132</f>
        <v>0.75-0.75"</v>
      </c>
      <c r="E313" s="42" t="str">
        <f ca="1">'Landscape Trees '!F132</f>
        <v>5-6'</v>
      </c>
      <c r="F313" s="52">
        <f ca="1">'Landscape Trees '!G132</f>
        <v>1</v>
      </c>
      <c r="G313" s="53">
        <f ca="1">'Landscape Trees '!H132</f>
        <v>70</v>
      </c>
      <c r="H313" s="51" t="str">
        <f t="shared" ca="1" si="3"/>
        <v>Wildfire Black Gum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Ostrya virginiana</v>
      </c>
      <c r="B314" s="51" t="str">
        <f ca="1">'Landscape Trees '!C133</f>
        <v>American Hophornbeam</v>
      </c>
      <c r="C314" s="42" t="str">
        <f ca="1">'Landscape Trees '!D133</f>
        <v>#5</v>
      </c>
      <c r="D314" s="42" t="str">
        <f ca="1">'Landscape Trees '!E133</f>
        <v>0.75-1.25"</v>
      </c>
      <c r="E314" s="42" t="str">
        <f ca="1">'Landscape Trees '!F133</f>
        <v>6-12'</v>
      </c>
      <c r="F314" s="52">
        <f ca="1">'Landscape Trees '!G133</f>
        <v>99</v>
      </c>
      <c r="G314" s="53">
        <f ca="1">'Landscape Trees '!H133</f>
        <v>50</v>
      </c>
      <c r="H314" s="51" t="str">
        <f t="shared" ca="1" si="3"/>
        <v>American Hophornbeam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Oxydendrum arboreum</v>
      </c>
      <c r="B315" s="51" t="str">
        <f ca="1">'Landscape Trees '!C134</f>
        <v>Sourwood</v>
      </c>
      <c r="C315" s="42" t="str">
        <f ca="1">'Landscape Trees '!D134</f>
        <v>#5</v>
      </c>
      <c r="D315" s="42" t="str">
        <f ca="1">'Landscape Trees '!E134</f>
        <v>Multi</v>
      </c>
      <c r="E315" s="42" t="str">
        <f ca="1">'Landscape Trees '!F134</f>
        <v>2-6.5'</v>
      </c>
      <c r="F315" s="52">
        <f ca="1">'Landscape Trees '!G134</f>
        <v>201</v>
      </c>
      <c r="G315" s="53">
        <f ca="1">'Landscape Trees '!H134</f>
        <v>50</v>
      </c>
      <c r="H315" s="51" t="str">
        <f t="shared" ca="1" si="3"/>
        <v>Sourwood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Parrotia persica</v>
      </c>
      <c r="B316" s="51" t="str">
        <f ca="1">'Landscape Trees '!C135</f>
        <v>Persian Parrotia</v>
      </c>
      <c r="C316" s="42" t="str">
        <f ca="1">'Landscape Trees '!D135</f>
        <v>#5</v>
      </c>
      <c r="D316" s="42" t="str">
        <f ca="1">'Landscape Trees '!E135</f>
        <v>Multi</v>
      </c>
      <c r="E316" s="42" t="str">
        <f ca="1">'Landscape Trees '!F135</f>
        <v>3-6.5'</v>
      </c>
      <c r="F316" s="52">
        <f ca="1">'Landscape Trees '!G135</f>
        <v>48</v>
      </c>
      <c r="G316" s="53">
        <f ca="1">'Landscape Trees '!H135</f>
        <v>50</v>
      </c>
      <c r="H316" s="51" t="str">
        <f t="shared" ca="1" si="3"/>
        <v>Persian Parrotia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Picea abies</v>
      </c>
      <c r="B317" s="51" t="str">
        <f ca="1">'Landscape Trees '!C136</f>
        <v>Norway Spruce</v>
      </c>
      <c r="C317" s="42" t="str">
        <f ca="1">'Landscape Trees '!D136</f>
        <v>#5</v>
      </c>
      <c r="D317" s="42" t="str">
        <f ca="1">'Landscape Trees '!E136</f>
        <v>0.75-1.25"</v>
      </c>
      <c r="E317" s="42" t="str">
        <f ca="1">'Landscape Trees '!F136</f>
        <v>3-4'</v>
      </c>
      <c r="F317" s="52">
        <f ca="1">'Landscape Trees '!G136</f>
        <v>108</v>
      </c>
      <c r="G317" s="53">
        <f ca="1">'Landscape Trees '!H136</f>
        <v>50</v>
      </c>
      <c r="H317" s="51" t="str">
        <f t="shared" ca="1" si="3"/>
        <v>Norway Spruce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 xml:space="preserve">Pinus virginiana </v>
      </c>
      <c r="B318" s="51" t="str">
        <f ca="1">'Landscape Trees '!C137</f>
        <v>Virginia Pine</v>
      </c>
      <c r="C318" s="42" t="str">
        <f ca="1">'Landscape Trees '!D137</f>
        <v>#5</v>
      </c>
      <c r="D318" s="42" t="str">
        <f ca="1">'Landscape Trees '!E137</f>
        <v>0.5-1"</v>
      </c>
      <c r="E318" s="42" t="str">
        <f ca="1">'Landscape Trees '!F137</f>
        <v>2-3'</v>
      </c>
      <c r="F318" s="52">
        <f ca="1">'Landscape Trees '!G137</f>
        <v>14</v>
      </c>
      <c r="G318" s="53">
        <f ca="1">'Landscape Trees '!H137</f>
        <v>50</v>
      </c>
      <c r="H318" s="51" t="str">
        <f t="shared" ca="1" si="3"/>
        <v>Virginia Pine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Platanus x acerifolia 'Exclamation'</v>
      </c>
      <c r="B319" s="51" t="str">
        <f ca="1">'Landscape Trees '!C138</f>
        <v>Exclamation London Plane Tree</v>
      </c>
      <c r="C319" s="42" t="str">
        <f ca="1">'Landscape Trees '!D138</f>
        <v>#10</v>
      </c>
      <c r="D319" s="42" t="str">
        <f ca="1">'Landscape Trees '!E138</f>
        <v>1.5-1.75"</v>
      </c>
      <c r="E319" s="42" t="str">
        <f ca="1">'Landscape Trees '!F138</f>
        <v>12-13.5'</v>
      </c>
      <c r="F319" s="52">
        <f ca="1">'Landscape Trees '!G138</f>
        <v>2</v>
      </c>
      <c r="G319" s="53">
        <f ca="1">'Landscape Trees '!H138</f>
        <v>100</v>
      </c>
      <c r="H319" s="51" t="str">
        <f t="shared" ca="1" si="3"/>
        <v>Exclamation London Plane Tree #10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Platanus x acerifolia 'Exclamation'</v>
      </c>
      <c r="B320" s="51" t="str">
        <f ca="1">'Landscape Trees '!C139</f>
        <v>Exclamation London Plane Tree</v>
      </c>
      <c r="C320" s="42" t="str">
        <f ca="1">'Landscape Trees '!D139</f>
        <v>#15</v>
      </c>
      <c r="D320" s="42" t="str">
        <f ca="1">'Landscape Trees '!E139</f>
        <v>1.25-1.5"</v>
      </c>
      <c r="E320" s="42" t="str">
        <f ca="1">'Landscape Trees '!F139</f>
        <v>10-12'</v>
      </c>
      <c r="F320" s="52">
        <f ca="1">'Landscape Trees '!G139</f>
        <v>4</v>
      </c>
      <c r="G320" s="53">
        <f ca="1">'Landscape Trees '!H139</f>
        <v>135</v>
      </c>
      <c r="H320" s="51" t="str">
        <f t="shared" ca="1" si="3"/>
        <v>Exclamation London Plane Tree #15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Populus tremuloides</v>
      </c>
      <c r="B321" s="51" t="str">
        <f ca="1">'Landscape Trees '!C140</f>
        <v>Quaking Aspen</v>
      </c>
      <c r="C321" s="42" t="str">
        <f ca="1">'Landscape Trees '!D140</f>
        <v>#5</v>
      </c>
      <c r="D321" s="42" t="str">
        <f ca="1">'Landscape Trees '!E140</f>
        <v>0.5-0.75"</v>
      </c>
      <c r="E321" s="42" t="str">
        <f ca="1">'Landscape Trees '!F140</f>
        <v>4-7'</v>
      </c>
      <c r="F321" s="52">
        <f ca="1">'Landscape Trees '!G140</f>
        <v>26</v>
      </c>
      <c r="G321" s="53">
        <f ca="1">'Landscape Trees '!H140</f>
        <v>50</v>
      </c>
      <c r="H321" s="51" t="str">
        <f t="shared" ca="1" si="3"/>
        <v>Quaking Aspen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Populus tremuloides</v>
      </c>
      <c r="B322" s="51" t="str">
        <f ca="1">'Landscape Trees '!C141</f>
        <v>Quaking Aspen</v>
      </c>
      <c r="C322" s="42" t="str">
        <f ca="1">'Landscape Trees '!D141</f>
        <v>#15</v>
      </c>
      <c r="D322" s="42" t="str">
        <f ca="1">'Landscape Trees '!E141</f>
        <v>1-1.25"</v>
      </c>
      <c r="E322" s="42" t="str">
        <f ca="1">'Landscape Trees '!F141</f>
        <v>10-12'</v>
      </c>
      <c r="F322" s="52">
        <f ca="1">'Landscape Trees '!G141</f>
        <v>9</v>
      </c>
      <c r="G322" s="53">
        <f ca="1">'Landscape Trees '!H141</f>
        <v>135</v>
      </c>
      <c r="H322" s="51" t="str">
        <f t="shared" ca="1" si="3"/>
        <v>Quaking Aspen #15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Prunus 'Autumnalis'</v>
      </c>
      <c r="B323" s="51" t="str">
        <f ca="1">'Landscape Trees '!C142</f>
        <v>Autumnalis Cherry</v>
      </c>
      <c r="C323" s="42" t="str">
        <f ca="1">'Landscape Trees '!D142</f>
        <v>#10</v>
      </c>
      <c r="D323" s="42" t="str">
        <f ca="1">'Landscape Trees '!E142</f>
        <v>1-1.25"</v>
      </c>
      <c r="E323" s="42" t="str">
        <f ca="1">'Landscape Trees '!F142</f>
        <v>7-10'</v>
      </c>
      <c r="F323" s="52">
        <f ca="1">'Landscape Trees '!G142</f>
        <v>21</v>
      </c>
      <c r="G323" s="53">
        <f ca="1">'Landscape Trees '!H142</f>
        <v>100</v>
      </c>
      <c r="H323" s="51" t="str">
        <f t="shared" ca="1" si="3"/>
        <v>Autumnalis Cherry #10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Prunus 'Autumnalis'</v>
      </c>
      <c r="B324" s="51" t="str">
        <f ca="1">'Landscape Trees '!C143</f>
        <v>Autumnalis Cherry</v>
      </c>
      <c r="C324" s="42" t="str">
        <f ca="1">'Landscape Trees '!D143</f>
        <v>#15</v>
      </c>
      <c r="D324" s="42" t="str">
        <f ca="1">'Landscape Trees '!E143</f>
        <v>0.75-1"</v>
      </c>
      <c r="E324" s="42" t="str">
        <f ca="1">'Landscape Trees '!F143</f>
        <v>8-9'</v>
      </c>
      <c r="F324" s="52">
        <f ca="1">'Landscape Trees '!G143</f>
        <v>2</v>
      </c>
      <c r="G324" s="53">
        <f ca="1">'Landscape Trees '!H143</f>
        <v>135</v>
      </c>
      <c r="H324" s="51" t="str">
        <f t="shared" ca="1" si="3"/>
        <v>Autumnalis Cherry #15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Prunus 'Mt. Fuji'</v>
      </c>
      <c r="B325" s="51" t="str">
        <f ca="1">'Landscape Trees '!C144</f>
        <v>Mt Fuji Cherry</v>
      </c>
      <c r="C325" s="42" t="str">
        <f ca="1">'Landscape Trees '!D144</f>
        <v>#15</v>
      </c>
      <c r="D325" s="42" t="str">
        <f ca="1">'Landscape Trees '!E144</f>
        <v>1.25-1.25"</v>
      </c>
      <c r="E325" s="42" t="str">
        <f ca="1">'Landscape Trees '!F144</f>
        <v>8-9'</v>
      </c>
      <c r="F325" s="52">
        <f ca="1">'Landscape Trees '!G144</f>
        <v>2</v>
      </c>
      <c r="G325" s="53">
        <f ca="1">'Landscape Trees '!H144</f>
        <v>135</v>
      </c>
      <c r="H325" s="51" t="str">
        <f t="shared" ca="1" si="3"/>
        <v>Mt Fuji Cherry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Prunus 'Okame'</v>
      </c>
      <c r="B326" s="51" t="str">
        <f ca="1">'Landscape Trees '!C145</f>
        <v>Okame Cherry</v>
      </c>
      <c r="C326" s="42" t="str">
        <f ca="1">'Landscape Trees '!D145</f>
        <v>#10</v>
      </c>
      <c r="D326" s="42" t="str">
        <f ca="1">'Landscape Trees '!E145</f>
        <v>0.75-1.75"</v>
      </c>
      <c r="E326" s="42" t="str">
        <f ca="1">'Landscape Trees '!F145</f>
        <v>6-14'</v>
      </c>
      <c r="F326" s="52">
        <f ca="1">'Landscape Trees '!G145</f>
        <v>29</v>
      </c>
      <c r="G326" s="53">
        <f ca="1">'Landscape Trees '!H145</f>
        <v>100</v>
      </c>
      <c r="H326" s="51" t="str">
        <f t="shared" ca="1" si="3"/>
        <v>Okame Cherry #10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Prunus 'Okame'</v>
      </c>
      <c r="B327" s="51" t="str">
        <f ca="1">'Landscape Trees '!C146</f>
        <v>Okame Cherry</v>
      </c>
      <c r="C327" s="42" t="str">
        <f ca="1">'Landscape Trees '!D146</f>
        <v>#15</v>
      </c>
      <c r="D327" s="42" t="str">
        <f ca="1">'Landscape Trees '!E146</f>
        <v>0.75-1"</v>
      </c>
      <c r="E327" s="42" t="str">
        <f ca="1">'Landscape Trees '!F146</f>
        <v>8-11'</v>
      </c>
      <c r="F327" s="52">
        <f ca="1">'Landscape Trees '!G146</f>
        <v>2</v>
      </c>
      <c r="G327" s="53">
        <f ca="1">'Landscape Trees '!H146</f>
        <v>135</v>
      </c>
      <c r="H327" s="51" t="str">
        <f t="shared" ca="1" si="3"/>
        <v>Okame Cherry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Prunus × yedoensis</v>
      </c>
      <c r="B328" s="51" t="str">
        <f ca="1">'Landscape Trees '!C147</f>
        <v>Yoshino Cherry</v>
      </c>
      <c r="C328" s="42" t="str">
        <f ca="1">'Landscape Trees '!D147</f>
        <v>#15</v>
      </c>
      <c r="D328" s="42" t="str">
        <f ca="1">'Landscape Trees '!E147</f>
        <v>1-1.5"</v>
      </c>
      <c r="E328" s="42" t="str">
        <f ca="1">'Landscape Trees '!F147</f>
        <v>8-10'</v>
      </c>
      <c r="F328" s="52">
        <f ca="1">'Landscape Trees '!G147</f>
        <v>8</v>
      </c>
      <c r="G328" s="53">
        <f ca="1">'Landscape Trees '!H147</f>
        <v>135</v>
      </c>
      <c r="H328" s="51" t="str">
        <f t="shared" ca="1" si="3"/>
        <v>Yoshino Cherry #15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Prunus americana</v>
      </c>
      <c r="B329" s="51" t="str">
        <f ca="1">'Landscape Trees '!C148</f>
        <v>American Plum</v>
      </c>
      <c r="C329" s="42" t="str">
        <f ca="1">'Landscape Trees '!D148</f>
        <v>#5</v>
      </c>
      <c r="D329" s="42" t="str">
        <f ca="1">'Landscape Trees '!E148</f>
        <v>0.25-0.75"</v>
      </c>
      <c r="E329" s="42" t="str">
        <f ca="1">'Landscape Trees '!F148</f>
        <v>4-5'</v>
      </c>
      <c r="F329" s="52">
        <f ca="1">'Landscape Trees '!G148</f>
        <v>23</v>
      </c>
      <c r="G329" s="53">
        <f ca="1">'Landscape Trees '!H148</f>
        <v>50</v>
      </c>
      <c r="H329" s="51" t="str">
        <f t="shared" ca="1" si="3"/>
        <v>American Plum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Prunus cerasifera 'Thundercloud'</v>
      </c>
      <c r="B330" s="51" t="str">
        <f ca="1">'Landscape Trees '!C149</f>
        <v>Thundercloud Plum</v>
      </c>
      <c r="C330" s="42" t="str">
        <f ca="1">'Landscape Trees '!D149</f>
        <v>#15</v>
      </c>
      <c r="D330" s="42" t="str">
        <f ca="1">'Landscape Trees '!E149</f>
        <v>1.5-1.5"</v>
      </c>
      <c r="E330" s="42" t="str">
        <f ca="1">'Landscape Trees '!F149</f>
        <v>10-11'</v>
      </c>
      <c r="F330" s="52">
        <f ca="1">'Landscape Trees '!G149</f>
        <v>9</v>
      </c>
      <c r="G330" s="53">
        <f ca="1">'Landscape Trees '!H149</f>
        <v>135</v>
      </c>
      <c r="H330" s="51" t="str">
        <f t="shared" ca="1" si="3"/>
        <v>Thundercloud Plum #15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Prunus maritima</v>
      </c>
      <c r="B331" s="51" t="str">
        <f ca="1">'Landscape Trees '!C150</f>
        <v>Beach Plum</v>
      </c>
      <c r="C331" s="42" t="str">
        <f ca="1">'Landscape Trees '!D150</f>
        <v>#5</v>
      </c>
      <c r="D331" s="42" t="str">
        <f ca="1">'Landscape Trees '!E150</f>
        <v>0.75-0.75"</v>
      </c>
      <c r="E331" s="42" t="str">
        <f ca="1">'Landscape Trees '!F150</f>
        <v>5-7'</v>
      </c>
      <c r="F331" s="52">
        <f ca="1">'Landscape Trees '!G150</f>
        <v>11</v>
      </c>
      <c r="G331" s="53">
        <f ca="1">'Landscape Trees '!H150</f>
        <v>50</v>
      </c>
      <c r="H331" s="51" t="str">
        <f t="shared" ca="1" si="3"/>
        <v>Beach Plum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Prunus serrulata 'Kwanzan'</v>
      </c>
      <c r="B332" s="51" t="str">
        <f ca="1">'Landscape Trees '!C151</f>
        <v>Kwanzan Cherry</v>
      </c>
      <c r="C332" s="42" t="str">
        <f ca="1">'Landscape Trees '!D151</f>
        <v>#5</v>
      </c>
      <c r="D332" s="42" t="str">
        <f ca="1">'Landscape Trees '!E151</f>
        <v>0.5-1"</v>
      </c>
      <c r="E332" s="42" t="str">
        <f ca="1">'Landscape Trees '!F151</f>
        <v>3-7'</v>
      </c>
      <c r="F332" s="52">
        <f ca="1">'Landscape Trees '!G151</f>
        <v>17</v>
      </c>
      <c r="G332" s="53">
        <f ca="1">'Landscape Trees '!H151</f>
        <v>50</v>
      </c>
      <c r="H332" s="51" t="str">
        <f t="shared" ca="1" si="3"/>
        <v>Kwanzan Cherry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Prunus serrulata 'Kwanzan'</v>
      </c>
      <c r="B333" s="51" t="str">
        <f ca="1">'Landscape Trees '!C152</f>
        <v>Kwanzan Cherry</v>
      </c>
      <c r="C333" s="42" t="str">
        <f ca="1">'Landscape Trees '!D152</f>
        <v>#10</v>
      </c>
      <c r="D333" s="42" t="str">
        <f ca="1">'Landscape Trees '!E152</f>
        <v>0.75-1.75"</v>
      </c>
      <c r="E333" s="42" t="str">
        <f ca="1">'Landscape Trees '!F152</f>
        <v>7-10'</v>
      </c>
      <c r="F333" s="52">
        <f ca="1">'Landscape Trees '!G152</f>
        <v>22</v>
      </c>
      <c r="G333" s="53">
        <f ca="1">'Landscape Trees '!H152</f>
        <v>100</v>
      </c>
      <c r="H333" s="51" t="str">
        <f t="shared" ca="1" si="3"/>
        <v>Kwanzan Cherry #10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Prunus serrulata 'Kwanzan'</v>
      </c>
      <c r="B334" s="51" t="str">
        <f ca="1">'Landscape Trees '!C153</f>
        <v>Kwanzan Cherry</v>
      </c>
      <c r="C334" s="42" t="str">
        <f ca="1">'Landscape Trees '!D153</f>
        <v>#15</v>
      </c>
      <c r="D334" s="42" t="str">
        <f ca="1">'Landscape Trees '!E153</f>
        <v>1.25-1.25"</v>
      </c>
      <c r="E334" s="42" t="str">
        <f ca="1">'Landscape Trees '!F153</f>
        <v>9-10'</v>
      </c>
      <c r="F334" s="52">
        <f ca="1">'Landscape Trees '!G153</f>
        <v>2</v>
      </c>
      <c r="G334" s="53">
        <f ca="1">'Landscape Trees '!H153</f>
        <v>135</v>
      </c>
      <c r="H334" s="51" t="str">
        <f t="shared" ca="1" si="3"/>
        <v>Kwanzan Cherry #15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Prunus subhirtella 'Snow Fountains'</v>
      </c>
      <c r="B335" s="51" t="str">
        <f ca="1">'Landscape Trees '!C154</f>
        <v>Snow Fountains Cherry</v>
      </c>
      <c r="C335" s="42" t="str">
        <f ca="1">'Landscape Trees '!D154</f>
        <v>#15</v>
      </c>
      <c r="D335" s="42" t="str">
        <f ca="1">'Landscape Trees '!E154</f>
        <v>1.25-2"</v>
      </c>
      <c r="E335" s="42" t="str">
        <f ca="1">'Landscape Trees '!F154</f>
        <v>6-8'</v>
      </c>
      <c r="F335" s="52">
        <f ca="1">'Landscape Trees '!G154</f>
        <v>22</v>
      </c>
      <c r="G335" s="53">
        <f ca="1">'Landscape Trees '!H154</f>
        <v>135</v>
      </c>
      <c r="H335" s="51" t="str">
        <f t="shared" ca="1" si="3"/>
        <v>Snow Fountains Cherry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Prunus subhirtella 'Snow Fountains'</v>
      </c>
      <c r="B336" s="51" t="str">
        <f ca="1">'Landscape Trees '!C155</f>
        <v>Snow Fountains Cherry</v>
      </c>
      <c r="C336" s="42" t="str">
        <f ca="1">'Landscape Trees '!D155</f>
        <v>#25</v>
      </c>
      <c r="D336" s="42" t="str">
        <f ca="1">'Landscape Trees '!E155</f>
        <v>2.25-2.5"</v>
      </c>
      <c r="E336" s="42" t="str">
        <f ca="1">'Landscape Trees '!F155</f>
        <v>7-8'</v>
      </c>
      <c r="F336" s="52">
        <f ca="1">'Landscape Trees '!G155</f>
        <v>3</v>
      </c>
      <c r="G336" s="53">
        <f ca="1">'Landscape Trees '!H155</f>
        <v>150</v>
      </c>
      <c r="H336" s="51" t="str">
        <f t="shared" ca="1" si="3"/>
        <v>Snow Fountains Cherry #25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Prunus subhirtella "Pendula plena rosea"</v>
      </c>
      <c r="B337" s="51" t="str">
        <f ca="1">'Landscape Trees '!C156</f>
        <v>Double Pink Weeping Cherry</v>
      </c>
      <c r="C337" s="42" t="str">
        <f ca="1">'Landscape Trees '!D156</f>
        <v>#15</v>
      </c>
      <c r="D337" s="42" t="str">
        <f ca="1">'Landscape Trees '!E156</f>
        <v>1.5-1.75"</v>
      </c>
      <c r="E337" s="42" t="str">
        <f ca="1">'Landscape Trees '!F156</f>
        <v>7-8'</v>
      </c>
      <c r="F337" s="52">
        <f ca="1">'Landscape Trees '!G156</f>
        <v>5</v>
      </c>
      <c r="G337" s="53">
        <f ca="1">'Landscape Trees '!H156</f>
        <v>135</v>
      </c>
      <c r="H337" s="51" t="str">
        <f t="shared" ca="1" si="3"/>
        <v>Double Pink Weeping Cherry #15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Prunus virginiana 'Shubert Select'</v>
      </c>
      <c r="B338" s="51" t="str">
        <f ca="1">'Landscape Trees '!C157</f>
        <v>Canada Red Select Cherry</v>
      </c>
      <c r="C338" s="42" t="str">
        <f ca="1">'Landscape Trees '!D157</f>
        <v>#15</v>
      </c>
      <c r="D338" s="42" t="str">
        <f ca="1">'Landscape Trees '!E157</f>
        <v>1.25-1.25"</v>
      </c>
      <c r="E338" s="42" t="str">
        <f ca="1">'Landscape Trees '!F157</f>
        <v>12-12.5'</v>
      </c>
      <c r="F338" s="52">
        <f ca="1">'Landscape Trees '!G157</f>
        <v>1</v>
      </c>
      <c r="G338" s="53">
        <f ca="1">'Landscape Trees '!H157</f>
        <v>135</v>
      </c>
      <c r="H338" s="51" t="str">
        <f t="shared" ca="1" si="3"/>
        <v>Canada Red Select Cherry #15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Quercus</v>
      </c>
      <c r="B339" s="51" t="str">
        <f ca="1">'Landscape Trees '!C158</f>
        <v xml:space="preserve">Mystery Oak (Red Oak Family) </v>
      </c>
      <c r="C339" s="42" t="str">
        <f ca="1">'Landscape Trees '!D158</f>
        <v>#5</v>
      </c>
      <c r="D339" s="42" t="str">
        <f ca="1">'Landscape Trees '!E158</f>
        <v>1-1.25"</v>
      </c>
      <c r="E339" s="42" t="str">
        <f ca="1">'Landscape Trees '!F158</f>
        <v>6-9'</v>
      </c>
      <c r="F339" s="52">
        <f ca="1">'Landscape Trees '!G158</f>
        <v>2</v>
      </c>
      <c r="G339" s="53">
        <f ca="1">'Landscape Trees '!H158</f>
        <v>55</v>
      </c>
      <c r="H339" s="51" t="str">
        <f t="shared" ca="1" si="3"/>
        <v>Mystery Oak (Red Oak Family) 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Quercus</v>
      </c>
      <c r="B340" s="51" t="str">
        <f ca="1">'Landscape Trees '!C159</f>
        <v xml:space="preserve">Mystery Oak (Red Oak Family) </v>
      </c>
      <c r="C340" s="42" t="str">
        <f ca="1">'Landscape Trees '!D159</f>
        <v>#7</v>
      </c>
      <c r="D340" s="42" t="str">
        <f ca="1">'Landscape Trees '!E159</f>
        <v>1-1.25"</v>
      </c>
      <c r="E340" s="42" t="str">
        <f ca="1">'Landscape Trees '!F159</f>
        <v>8-9'</v>
      </c>
      <c r="F340" s="52">
        <f ca="1">'Landscape Trees '!G159</f>
        <v>2</v>
      </c>
      <c r="G340" s="53">
        <f ca="1">'Landscape Trees '!H159</f>
        <v>70</v>
      </c>
      <c r="H340" s="51" t="str">
        <f t="shared" ca="1" si="3"/>
        <v>Mystery Oak (Red Oak Family)  #7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Quercus 'Kindred Spirit'</v>
      </c>
      <c r="B341" s="51" t="str">
        <f ca="1">'Landscape Trees '!C160</f>
        <v>Kindred Spirit Oak</v>
      </c>
      <c r="C341" s="42" t="str">
        <f ca="1">'Landscape Trees '!D160</f>
        <v>#5</v>
      </c>
      <c r="D341" s="42" t="str">
        <f ca="1">'Landscape Trees '!E160</f>
        <v>1.25-1.25"</v>
      </c>
      <c r="E341" s="42" t="str">
        <f ca="1">'Landscape Trees '!F160</f>
        <v>9-9'</v>
      </c>
      <c r="F341" s="52">
        <f ca="1">'Landscape Trees '!G160</f>
        <v>1</v>
      </c>
      <c r="G341" s="53">
        <f ca="1">'Landscape Trees '!H160</f>
        <v>70</v>
      </c>
      <c r="H341" s="51" t="str">
        <f t="shared" ca="1" si="3"/>
        <v>Kindred Spirit Oak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Quercus alba</v>
      </c>
      <c r="B342" s="51" t="str">
        <f ca="1">'Landscape Trees '!C161</f>
        <v>White Oak</v>
      </c>
      <c r="C342" s="42" t="str">
        <f ca="1">'Landscape Trees '!D161</f>
        <v>#5</v>
      </c>
      <c r="D342" s="42" t="str">
        <f ca="1">'Landscape Trees '!E161</f>
        <v>0.5-1"</v>
      </c>
      <c r="E342" s="42" t="str">
        <f ca="1">'Landscape Trees '!F161</f>
        <v>3-5'</v>
      </c>
      <c r="F342" s="52">
        <f ca="1">'Landscape Trees '!G161</f>
        <v>39</v>
      </c>
      <c r="G342" s="53">
        <f ca="1">'Landscape Trees '!H161</f>
        <v>50</v>
      </c>
      <c r="H342" s="51" t="str">
        <f t="shared" ca="1" si="3"/>
        <v>White Oak #5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Quercus alba</v>
      </c>
      <c r="B343" s="51" t="str">
        <f ca="1">'Landscape Trees '!C162</f>
        <v>White Oak</v>
      </c>
      <c r="C343" s="42" t="str">
        <f ca="1">'Landscape Trees '!D162</f>
        <v>#7</v>
      </c>
      <c r="D343" s="42" t="str">
        <f ca="1">'Landscape Trees '!E162</f>
        <v>0.75-1"</v>
      </c>
      <c r="E343" s="42" t="str">
        <f ca="1">'Landscape Trees '!F162</f>
        <v>6-7'</v>
      </c>
      <c r="F343" s="52">
        <f ca="1">'Landscape Trees '!G162</f>
        <v>28</v>
      </c>
      <c r="G343" s="53">
        <f ca="1">'Landscape Trees '!H162</f>
        <v>70</v>
      </c>
      <c r="H343" s="51" t="str">
        <f t="shared" ca="1" si="3"/>
        <v>White Oak #7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Quercus alba</v>
      </c>
      <c r="B344" s="51" t="str">
        <f ca="1">'Landscape Trees '!C163</f>
        <v>White Oak</v>
      </c>
      <c r="C344" s="42" t="str">
        <f ca="1">'Landscape Trees '!D163</f>
        <v>#10</v>
      </c>
      <c r="D344" s="42" t="str">
        <f ca="1">'Landscape Trees '!E163</f>
        <v>0.75-1.25"</v>
      </c>
      <c r="E344" s="42" t="str">
        <f ca="1">'Landscape Trees '!F163</f>
        <v>6-7'</v>
      </c>
      <c r="F344" s="52">
        <f ca="1">'Landscape Trees '!G163</f>
        <v>11</v>
      </c>
      <c r="G344" s="53">
        <f ca="1">'Landscape Trees '!H163</f>
        <v>100</v>
      </c>
      <c r="H344" s="51" t="str">
        <f t="shared" ca="1" si="3"/>
        <v>White Oak #10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Quercus alba</v>
      </c>
      <c r="B345" s="51" t="str">
        <f ca="1">'Landscape Trees '!C164</f>
        <v>White Oak</v>
      </c>
      <c r="C345" s="42" t="str">
        <f ca="1">'Landscape Trees '!D164</f>
        <v>#15</v>
      </c>
      <c r="D345" s="42" t="str">
        <f ca="1">'Landscape Trees '!E164</f>
        <v>0.75-1.5"</v>
      </c>
      <c r="E345" s="42" t="str">
        <f ca="1">'Landscape Trees '!F164</f>
        <v>7-11'</v>
      </c>
      <c r="F345" s="52">
        <f ca="1">'Landscape Trees '!G164</f>
        <v>4</v>
      </c>
      <c r="G345" s="53">
        <f ca="1">'Landscape Trees '!H164</f>
        <v>135</v>
      </c>
      <c r="H345" s="51" t="str">
        <f t="shared" ca="1" si="3"/>
        <v>White Oak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Quercus bicolor</v>
      </c>
      <c r="B346" s="51" t="str">
        <f ca="1">'Landscape Trees '!C165</f>
        <v>Swamp White Oak</v>
      </c>
      <c r="C346" s="42" t="str">
        <f ca="1">'Landscape Trees '!D165</f>
        <v>#5</v>
      </c>
      <c r="D346" s="42" t="str">
        <f ca="1">'Landscape Trees '!E165</f>
        <v>0.5-1"</v>
      </c>
      <c r="E346" s="42" t="str">
        <f ca="1">'Landscape Trees '!F165</f>
        <v>4-8'</v>
      </c>
      <c r="F346" s="52">
        <f ca="1">'Landscape Trees '!G165</f>
        <v>413</v>
      </c>
      <c r="G346" s="53">
        <f ca="1">'Landscape Trees '!H165</f>
        <v>50</v>
      </c>
      <c r="H346" s="51" t="str">
        <f t="shared" ca="1" si="3"/>
        <v>Swamp White Oak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Quercus bicolor</v>
      </c>
      <c r="B347" s="51" t="str">
        <f ca="1">'Landscape Trees '!C166</f>
        <v>Swamp White Oak</v>
      </c>
      <c r="C347" s="42" t="str">
        <f ca="1">'Landscape Trees '!D166</f>
        <v>#10</v>
      </c>
      <c r="D347" s="42" t="str">
        <f ca="1">'Landscape Trees '!E166</f>
        <v>1-1.25"</v>
      </c>
      <c r="E347" s="42" t="str">
        <f ca="1">'Landscape Trees '!F166</f>
        <v>6-8'</v>
      </c>
      <c r="F347" s="52">
        <f ca="1">'Landscape Trees '!G166</f>
        <v>43</v>
      </c>
      <c r="G347" s="53">
        <f ca="1">'Landscape Trees '!H166</f>
        <v>100</v>
      </c>
      <c r="H347" s="51" t="str">
        <f t="shared" ca="1" si="3"/>
        <v>Swamp White Oak #10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Quercus bicolor</v>
      </c>
      <c r="B348" s="51" t="str">
        <f ca="1">'Landscape Trees '!C167</f>
        <v>Swamp White Oak</v>
      </c>
      <c r="C348" s="42" t="str">
        <f ca="1">'Landscape Trees '!D167</f>
        <v>#15</v>
      </c>
      <c r="D348" s="42" t="str">
        <f ca="1">'Landscape Trees '!E167</f>
        <v>1.25-1.5"</v>
      </c>
      <c r="E348" s="42" t="str">
        <f ca="1">'Landscape Trees '!F167</f>
        <v>10-12'</v>
      </c>
      <c r="F348" s="52">
        <f ca="1">'Landscape Trees '!G167</f>
        <v>7</v>
      </c>
      <c r="G348" s="53">
        <f ca="1">'Landscape Trees '!H167</f>
        <v>135</v>
      </c>
      <c r="H348" s="51" t="str">
        <f t="shared" ca="1" si="3"/>
        <v>Swamp White Oak #15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Quercus coccinea</v>
      </c>
      <c r="B349" s="51" t="str">
        <f ca="1">'Landscape Trees '!C168</f>
        <v>Scarlet Oak</v>
      </c>
      <c r="C349" s="42" t="str">
        <f ca="1">'Landscape Trees '!D168</f>
        <v>#5</v>
      </c>
      <c r="D349" s="42" t="str">
        <f ca="1">'Landscape Trees '!E168</f>
        <v>1-1"</v>
      </c>
      <c r="E349" s="42" t="str">
        <f ca="1">'Landscape Trees '!F168</f>
        <v>7.5-7.5'</v>
      </c>
      <c r="F349" s="52">
        <f ca="1">'Landscape Trees '!G168</f>
        <v>1</v>
      </c>
      <c r="G349" s="53">
        <f ca="1">'Landscape Trees '!H168</f>
        <v>50</v>
      </c>
      <c r="H349" s="51" t="str">
        <f t="shared" ca="1" si="3"/>
        <v>Scarlet Oak #5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Quercus hemisphaerica</v>
      </c>
      <c r="B350" s="51" t="str">
        <f ca="1">'Landscape Trees '!C169</f>
        <v>Laurel Oak</v>
      </c>
      <c r="C350" s="42" t="str">
        <f ca="1">'Landscape Trees '!D169</f>
        <v>#5</v>
      </c>
      <c r="D350" s="42" t="str">
        <f ca="1">'Landscape Trees '!E169</f>
        <v>0.5-1"</v>
      </c>
      <c r="E350" s="42" t="str">
        <f ca="1">'Landscape Trees '!F169</f>
        <v>3.5-6.5'</v>
      </c>
      <c r="F350" s="52">
        <f ca="1">'Landscape Trees '!G169</f>
        <v>1</v>
      </c>
      <c r="G350" s="53">
        <f ca="1">'Landscape Trees '!H169</f>
        <v>50</v>
      </c>
      <c r="H350" s="51" t="str">
        <f t="shared" ca="1" si="3"/>
        <v>Laurel Oak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Quercus imbricaria</v>
      </c>
      <c r="B351" s="51" t="str">
        <f ca="1">'Landscape Trees '!C170</f>
        <v>Shingle Oak</v>
      </c>
      <c r="C351" s="42" t="str">
        <f ca="1">'Landscape Trees '!D170</f>
        <v>#5</v>
      </c>
      <c r="D351" s="42" t="str">
        <f ca="1">'Landscape Trees '!E170</f>
        <v>0.25-0.75"</v>
      </c>
      <c r="E351" s="42" t="str">
        <f ca="1">'Landscape Trees '!F170</f>
        <v>3-5'</v>
      </c>
      <c r="F351" s="52">
        <f ca="1">'Landscape Trees '!G170</f>
        <v>5</v>
      </c>
      <c r="G351" s="53">
        <f ca="1">'Landscape Trees '!H170</f>
        <v>50</v>
      </c>
      <c r="H351" s="51" t="str">
        <f t="shared" ca="1" si="3"/>
        <v>Shingle Oak #5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Quercus lyrata</v>
      </c>
      <c r="B352" s="51" t="str">
        <f ca="1">'Landscape Trees '!C171</f>
        <v>Overcup Oak</v>
      </c>
      <c r="C352" s="42" t="str">
        <f ca="1">'Landscape Trees '!D171</f>
        <v>#5</v>
      </c>
      <c r="D352" s="42" t="str">
        <f ca="1">'Landscape Trees '!E171</f>
        <v>0.25-1"</v>
      </c>
      <c r="E352" s="42" t="str">
        <f ca="1">'Landscape Trees '!F171</f>
        <v>3.5-6.5'</v>
      </c>
      <c r="F352" s="52">
        <f ca="1">'Landscape Trees '!G171</f>
        <v>27</v>
      </c>
      <c r="G352" s="53">
        <f ca="1">'Landscape Trees '!H171</f>
        <v>50</v>
      </c>
      <c r="H352" s="51" t="str">
        <f t="shared" ca="1" si="3"/>
        <v>Overcup Oak #5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Quercus macrocarpa</v>
      </c>
      <c r="B353" s="51" t="str">
        <f ca="1">'Landscape Trees '!C172</f>
        <v>Bur Oak</v>
      </c>
      <c r="C353" s="42" t="str">
        <f ca="1">'Landscape Trees '!D172</f>
        <v>#5</v>
      </c>
      <c r="D353" s="42" t="str">
        <f ca="1">'Landscape Trees '!E172</f>
        <v>0.5-1"</v>
      </c>
      <c r="E353" s="42" t="str">
        <f ca="1">'Landscape Trees '!F172</f>
        <v>4-6'</v>
      </c>
      <c r="F353" s="52">
        <f ca="1">'Landscape Trees '!G172</f>
        <v>17</v>
      </c>
      <c r="G353" s="53">
        <f ca="1">'Landscape Trees '!H172</f>
        <v>50</v>
      </c>
      <c r="H353" s="51" t="str">
        <f t="shared" ca="1" si="3"/>
        <v>Bur Oak #5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Quercus macrocarpa</v>
      </c>
      <c r="B354" s="51" t="str">
        <f ca="1">'Landscape Trees '!C173</f>
        <v>Bur Oak</v>
      </c>
      <c r="C354" s="42" t="str">
        <f ca="1">'Landscape Trees '!D173</f>
        <v>#10</v>
      </c>
      <c r="D354" s="42" t="str">
        <f ca="1">'Landscape Trees '!E173</f>
        <v>0.75-0.75"</v>
      </c>
      <c r="E354" s="42" t="str">
        <f ca="1">'Landscape Trees '!F173</f>
        <v>4.5-5.5'</v>
      </c>
      <c r="F354" s="52">
        <f ca="1">'Landscape Trees '!G173</f>
        <v>4</v>
      </c>
      <c r="G354" s="53">
        <f ca="1">'Landscape Trees '!H173</f>
        <v>100</v>
      </c>
      <c r="H354" s="51" t="str">
        <f t="shared" ca="1" si="3"/>
        <v>Bur Oak #10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Quercus macrocarpa</v>
      </c>
      <c r="B355" s="51" t="str">
        <f ca="1">'Landscape Trees '!C174</f>
        <v>Bur Oak</v>
      </c>
      <c r="C355" s="42" t="str">
        <f ca="1">'Landscape Trees '!D174</f>
        <v>#15</v>
      </c>
      <c r="D355" s="42" t="str">
        <f ca="1">'Landscape Trees '!E174</f>
        <v>1-1.25"</v>
      </c>
      <c r="E355" s="42" t="str">
        <f ca="1">'Landscape Trees '!F174</f>
        <v>9-10'</v>
      </c>
      <c r="F355" s="52">
        <f ca="1">'Landscape Trees '!G174</f>
        <v>7</v>
      </c>
      <c r="G355" s="53">
        <f ca="1">'Landscape Trees '!H174</f>
        <v>135</v>
      </c>
      <c r="H355" s="51" t="str">
        <f t="shared" ca="1" si="3"/>
        <v>Bur Oak #15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Quercus macrocarpa</v>
      </c>
      <c r="B356" s="51" t="str">
        <f ca="1">'Landscape Trees '!C175</f>
        <v>Bur Oak</v>
      </c>
      <c r="C356" s="42" t="str">
        <f ca="1">'Landscape Trees '!D175</f>
        <v>#25</v>
      </c>
      <c r="D356" s="42" t="str">
        <f ca="1">'Landscape Trees '!E175</f>
        <v>1.25-1.75"</v>
      </c>
      <c r="E356" s="42" t="str">
        <f ca="1">'Landscape Trees '!F175</f>
        <v>10-14'</v>
      </c>
      <c r="F356" s="52">
        <f ca="1">'Landscape Trees '!G175</f>
        <v>5</v>
      </c>
      <c r="G356" s="53">
        <f ca="1">'Landscape Trees '!H175</f>
        <v>150</v>
      </c>
      <c r="H356" s="51" t="str">
        <f t="shared" ca="1" si="3"/>
        <v>Bur Oak #25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Quercus marilandica</v>
      </c>
      <c r="B357" s="51" t="str">
        <f ca="1">'Landscape Trees '!C176</f>
        <v>Blackjack Oak</v>
      </c>
      <c r="C357" s="42" t="str">
        <f ca="1">'Landscape Trees '!D176</f>
        <v>#5</v>
      </c>
      <c r="D357" s="42" t="str">
        <f ca="1">'Landscape Trees '!E176</f>
        <v>0.25-0.75"</v>
      </c>
      <c r="E357" s="42" t="str">
        <f ca="1">'Landscape Trees '!F176</f>
        <v>3.5-5'</v>
      </c>
      <c r="F357" s="52">
        <f ca="1">'Landscape Trees '!G176</f>
        <v>11</v>
      </c>
      <c r="G357" s="53">
        <f ca="1">'Landscape Trees '!H176</f>
        <v>50</v>
      </c>
      <c r="H357" s="51" t="str">
        <f t="shared" ca="1" si="3"/>
        <v>Blackjack Oak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Quercus muehlenbergii</v>
      </c>
      <c r="B358" s="51" t="str">
        <f ca="1">'Landscape Trees '!C177</f>
        <v>Chinkapin Oak</v>
      </c>
      <c r="C358" s="42" t="str">
        <f ca="1">'Landscape Trees '!D177</f>
        <v>#15</v>
      </c>
      <c r="D358" s="42" t="str">
        <f ca="1">'Landscape Trees '!E177</f>
        <v>1-1.75"</v>
      </c>
      <c r="E358" s="42" t="str">
        <f ca="1">'Landscape Trees '!F177</f>
        <v>7-13'</v>
      </c>
      <c r="F358" s="52">
        <f ca="1">'Landscape Trees '!G177</f>
        <v>6</v>
      </c>
      <c r="G358" s="53">
        <f ca="1">'Landscape Trees '!H177</f>
        <v>135</v>
      </c>
      <c r="H358" s="51" t="str">
        <f t="shared" ca="1" si="3"/>
        <v>Chinkapin Oak #15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Quercus palustris</v>
      </c>
      <c r="B359" s="51" t="str">
        <f ca="1">'Landscape Trees '!C178</f>
        <v>Pin Oak</v>
      </c>
      <c r="C359" s="42" t="str">
        <f ca="1">'Landscape Trees '!D178</f>
        <v>#5</v>
      </c>
      <c r="D359" s="42" t="str">
        <f ca="1">'Landscape Trees '!E178</f>
        <v>0.5-1.5"</v>
      </c>
      <c r="E359" s="42" t="str">
        <f ca="1">'Landscape Trees '!F178</f>
        <v>4-10'</v>
      </c>
      <c r="F359" s="52">
        <f ca="1">'Landscape Trees '!G178</f>
        <v>17</v>
      </c>
      <c r="G359" s="53">
        <f ca="1">'Landscape Trees '!H178</f>
        <v>50</v>
      </c>
      <c r="H359" s="51" t="str">
        <f t="shared" ca="1" si="3"/>
        <v>Pin Oak #5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Quercus palustris</v>
      </c>
      <c r="B360" s="51" t="str">
        <f ca="1">'Landscape Trees '!C179</f>
        <v>Pin Oak</v>
      </c>
      <c r="C360" s="42" t="str">
        <f ca="1">'Landscape Trees '!D179</f>
        <v>#7</v>
      </c>
      <c r="D360" s="42" t="str">
        <f ca="1">'Landscape Trees '!E179</f>
        <v>1-1.75"</v>
      </c>
      <c r="E360" s="42" t="str">
        <f ca="1">'Landscape Trees '!F179</f>
        <v>7-14'</v>
      </c>
      <c r="F360" s="52">
        <f ca="1">'Landscape Trees '!G179</f>
        <v>16</v>
      </c>
      <c r="G360" s="53">
        <f ca="1">'Landscape Trees '!H179</f>
        <v>70</v>
      </c>
      <c r="H360" s="51" t="str">
        <f t="shared" ca="1" si="3"/>
        <v>Pin Oak #7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Quercus palustris</v>
      </c>
      <c r="B361" s="51" t="str">
        <f ca="1">'Landscape Trees '!C180</f>
        <v>Pin Oak</v>
      </c>
      <c r="C361" s="42" t="str">
        <f ca="1">'Landscape Trees '!D180</f>
        <v>#10</v>
      </c>
      <c r="D361" s="42" t="str">
        <f ca="1">'Landscape Trees '!E180</f>
        <v>1-1.5"</v>
      </c>
      <c r="E361" s="42" t="str">
        <f ca="1">'Landscape Trees '!F180</f>
        <v>8-9'</v>
      </c>
      <c r="F361" s="52">
        <f ca="1">'Landscape Trees '!G180</f>
        <v>18</v>
      </c>
      <c r="G361" s="53">
        <f ca="1">'Landscape Trees '!H180</f>
        <v>100</v>
      </c>
      <c r="H361" s="51" t="str">
        <f t="shared" ca="1" si="3"/>
        <v>Pin Oak #10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Quercus palustris</v>
      </c>
      <c r="B362" s="51" t="str">
        <f ca="1">'Landscape Trees '!C181</f>
        <v>Pin Oak</v>
      </c>
      <c r="C362" s="42" t="str">
        <f ca="1">'Landscape Trees '!D181</f>
        <v>#15</v>
      </c>
      <c r="D362" s="42" t="str">
        <f ca="1">'Landscape Trees '!E181</f>
        <v>1.25-1.5"</v>
      </c>
      <c r="E362" s="42" t="str">
        <f ca="1">'Landscape Trees '!F181</f>
        <v>10-11'</v>
      </c>
      <c r="F362" s="52">
        <f ca="1">'Landscape Trees '!G181</f>
        <v>6</v>
      </c>
      <c r="G362" s="53">
        <f ca="1">'Landscape Trees '!H181</f>
        <v>135</v>
      </c>
      <c r="H362" s="51" t="str">
        <f t="shared" ca="1" si="3"/>
        <v>Pin Oak #15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 phellos</v>
      </c>
      <c r="B363" s="51" t="str">
        <f ca="1">'Landscape Trees '!C182</f>
        <v>Willow Oak</v>
      </c>
      <c r="C363" s="42" t="str">
        <f ca="1">'Landscape Trees '!D182</f>
        <v>#5</v>
      </c>
      <c r="D363" s="42" t="str">
        <f ca="1">'Landscape Trees '!E182</f>
        <v>0.5-1"</v>
      </c>
      <c r="E363" s="42" t="str">
        <f ca="1">'Landscape Trees '!F182</f>
        <v>3-7'</v>
      </c>
      <c r="F363" s="52">
        <f ca="1">'Landscape Trees '!G182</f>
        <v>125</v>
      </c>
      <c r="G363" s="53">
        <f ca="1">'Landscape Trees '!H182</f>
        <v>50</v>
      </c>
      <c r="H363" s="51" t="str">
        <f t="shared" ca="1" si="3"/>
        <v>Willow Oak #5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phellos</v>
      </c>
      <c r="B364" s="51" t="str">
        <f ca="1">'Landscape Trees '!C183</f>
        <v>Willow Oak</v>
      </c>
      <c r="C364" s="42" t="str">
        <f ca="1">'Landscape Trees '!D183</f>
        <v>#7</v>
      </c>
      <c r="D364" s="42" t="str">
        <f ca="1">'Landscape Trees '!E183</f>
        <v>0.75-1"</v>
      </c>
      <c r="E364" s="42" t="str">
        <f ca="1">'Landscape Trees '!F183</f>
        <v>6-7'</v>
      </c>
      <c r="F364" s="52">
        <f ca="1">'Landscape Trees '!G183</f>
        <v>5</v>
      </c>
      <c r="G364" s="53">
        <f ca="1">'Landscape Trees '!H183</f>
        <v>70</v>
      </c>
      <c r="H364" s="51" t="str">
        <f t="shared" ca="1" si="3"/>
        <v>Willow Oak #7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phellos</v>
      </c>
      <c r="B365" s="51" t="str">
        <f ca="1">'Landscape Trees '!C184</f>
        <v>Willow Oak</v>
      </c>
      <c r="C365" s="42" t="str">
        <f ca="1">'Landscape Trees '!D184</f>
        <v>#15</v>
      </c>
      <c r="D365" s="42" t="str">
        <f ca="1">'Landscape Trees '!E184</f>
        <v>0.75-1"</v>
      </c>
      <c r="E365" s="42" t="str">
        <f ca="1">'Landscape Trees '!F184</f>
        <v>3-6'</v>
      </c>
      <c r="F365" s="52">
        <f ca="1">'Landscape Trees '!G184</f>
        <v>2</v>
      </c>
      <c r="G365" s="53">
        <f ca="1">'Landscape Trees '!H184</f>
        <v>135</v>
      </c>
      <c r="H365" s="51" t="str">
        <f t="shared" ca="1" si="3"/>
        <v>Willow Oak #15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prinus</v>
      </c>
      <c r="B366" s="51" t="str">
        <f ca="1">'Landscape Trees '!C185</f>
        <v>Chestnut Oak</v>
      </c>
      <c r="C366" s="42" t="str">
        <f ca="1">'Landscape Trees '!D185</f>
        <v>#5</v>
      </c>
      <c r="D366" s="42" t="str">
        <f ca="1">'Landscape Trees '!E185</f>
        <v>0.5-0.75"</v>
      </c>
      <c r="E366" s="42" t="str">
        <f ca="1">'Landscape Trees '!F185</f>
        <v>4-6'</v>
      </c>
      <c r="F366" s="52">
        <f ca="1">'Landscape Trees '!G185</f>
        <v>4</v>
      </c>
      <c r="G366" s="53">
        <f ca="1">'Landscape Trees '!H185</f>
        <v>50</v>
      </c>
      <c r="H366" s="51" t="str">
        <f t="shared" ca="1" si="3"/>
        <v>Chestnut Oak #5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rubra</v>
      </c>
      <c r="B367" s="51" t="str">
        <f ca="1">'Landscape Trees '!C186</f>
        <v>Red Oak</v>
      </c>
      <c r="C367" s="42" t="str">
        <f ca="1">'Landscape Trees '!D186</f>
        <v>#5</v>
      </c>
      <c r="D367" s="42" t="str">
        <f ca="1">'Landscape Trees '!E186</f>
        <v>0.5-0.75"</v>
      </c>
      <c r="E367" s="42" t="str">
        <f ca="1">'Landscape Trees '!F186</f>
        <v>3.5-5'</v>
      </c>
      <c r="F367" s="52">
        <f ca="1">'Landscape Trees '!G186</f>
        <v>5</v>
      </c>
      <c r="G367" s="53">
        <f ca="1">'Landscape Trees '!H186</f>
        <v>50</v>
      </c>
      <c r="H367" s="51" t="str">
        <f t="shared" ca="1" si="3"/>
        <v>Red Oak #5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rubra</v>
      </c>
      <c r="B368" s="51" t="str">
        <f ca="1">'Landscape Trees '!C187</f>
        <v>Red Oak</v>
      </c>
      <c r="C368" s="42" t="str">
        <f ca="1">'Landscape Trees '!D187</f>
        <v>#10</v>
      </c>
      <c r="D368" s="42" t="str">
        <f ca="1">'Landscape Trees '!E187</f>
        <v>0.75-1"</v>
      </c>
      <c r="E368" s="42" t="str">
        <f ca="1">'Landscape Trees '!F187</f>
        <v>6-8'</v>
      </c>
      <c r="F368" s="52">
        <f ca="1">'Landscape Trees '!G187</f>
        <v>9</v>
      </c>
      <c r="G368" s="53">
        <f ca="1">'Landscape Trees '!H187</f>
        <v>100</v>
      </c>
      <c r="H368" s="51" t="str">
        <f t="shared" ca="1" si="3"/>
        <v>Red Oak #10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rubra</v>
      </c>
      <c r="B369" s="51" t="str">
        <f ca="1">'Landscape Trees '!C188</f>
        <v>Red Oak</v>
      </c>
      <c r="C369" s="42" t="str">
        <f ca="1">'Landscape Trees '!D188</f>
        <v>#15</v>
      </c>
      <c r="D369" s="42" t="str">
        <f ca="1">'Landscape Trees '!E188</f>
        <v>1-2"</v>
      </c>
      <c r="E369" s="42" t="str">
        <f ca="1">'Landscape Trees '!F188</f>
        <v>10-11'</v>
      </c>
      <c r="F369" s="52">
        <f ca="1">'Landscape Trees '!G188</f>
        <v>4</v>
      </c>
      <c r="G369" s="53">
        <f ca="1">'Landscape Trees '!H188</f>
        <v>135</v>
      </c>
      <c r="H369" s="51" t="str">
        <f t="shared" ca="1" si="3"/>
        <v>Red Oak #15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stellata</v>
      </c>
      <c r="B370" s="51" t="str">
        <f ca="1">'Landscape Trees '!C189</f>
        <v>Post Oak</v>
      </c>
      <c r="C370" s="42" t="str">
        <f ca="1">'Landscape Trees '!D189</f>
        <v>#5</v>
      </c>
      <c r="D370" s="42" t="str">
        <f ca="1">'Landscape Trees '!E189</f>
        <v>0.25-0.5"</v>
      </c>
      <c r="E370" s="42" t="str">
        <f ca="1">'Landscape Trees '!F189</f>
        <v>4-6'</v>
      </c>
      <c r="F370" s="52">
        <f ca="1">'Landscape Trees '!G189</f>
        <v>6</v>
      </c>
      <c r="G370" s="53">
        <f ca="1">'Landscape Trees '!H189</f>
        <v>55</v>
      </c>
      <c r="H370" s="51" t="str">
        <f t="shared" ca="1" si="3"/>
        <v>Post Oak #5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x warei 'Regal Prince'</v>
      </c>
      <c r="B371" s="51" t="str">
        <f ca="1">'Landscape Trees '!C190</f>
        <v>Regal Prince Oak</v>
      </c>
      <c r="C371" s="42" t="str">
        <f ca="1">'Landscape Trees '!D190</f>
        <v>#5</v>
      </c>
      <c r="D371" s="42" t="str">
        <f ca="1">'Landscape Trees '!E190</f>
        <v>1.25-1.5"</v>
      </c>
      <c r="E371" s="42" t="str">
        <f ca="1">'Landscape Trees '!F190</f>
        <v>4-11'</v>
      </c>
      <c r="F371" s="52">
        <f ca="1">'Landscape Trees '!G190</f>
        <v>3</v>
      </c>
      <c r="G371" s="53">
        <f ca="1">'Landscape Trees '!H190</f>
        <v>70</v>
      </c>
      <c r="H371" s="51" t="str">
        <f t="shared" ca="1" si="3"/>
        <v>Regal Prince Oak #5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x warei 'Regal Prince'</v>
      </c>
      <c r="B372" s="51" t="str">
        <f ca="1">'Landscape Trees '!C191</f>
        <v>Regal Prince Oak</v>
      </c>
      <c r="C372" s="42" t="str">
        <f ca="1">'Landscape Trees '!D191</f>
        <v>#15</v>
      </c>
      <c r="D372" s="42" t="str">
        <f ca="1">'Landscape Trees '!E191</f>
        <v>1.5-2"</v>
      </c>
      <c r="E372" s="42" t="str">
        <f ca="1">'Landscape Trees '!F191</f>
        <v>9-14'</v>
      </c>
      <c r="F372" s="52">
        <f ca="1">'Landscape Trees '!G191</f>
        <v>9</v>
      </c>
      <c r="G372" s="53">
        <f ca="1">'Landscape Trees '!H191</f>
        <v>135</v>
      </c>
      <c r="H372" s="51" t="str">
        <f t="shared" ca="1" si="3"/>
        <v>Regal Prince Oak #15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Rhus aromatica</v>
      </c>
      <c r="B373" s="51" t="str">
        <f ca="1">'Landscape Trees '!C192</f>
        <v>Fragrant Sumac</v>
      </c>
      <c r="C373" s="42" t="str">
        <f ca="1">'Landscape Trees '!D192</f>
        <v>#5</v>
      </c>
      <c r="D373" s="42" t="str">
        <f ca="1">'Landscape Trees '!E192</f>
        <v>Multi</v>
      </c>
      <c r="E373" s="42" t="str">
        <f ca="1">'Landscape Trees '!F192</f>
        <v>4-5'</v>
      </c>
      <c r="F373" s="52">
        <f ca="1">'Landscape Trees '!G192</f>
        <v>12</v>
      </c>
      <c r="G373" s="53">
        <f ca="1">'Landscape Trees '!H192</f>
        <v>37</v>
      </c>
      <c r="H373" s="51" t="str">
        <f t="shared" ca="1" si="3"/>
        <v>Fragrant Sumac #5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Rhus glabra</v>
      </c>
      <c r="B374" s="51" t="str">
        <f ca="1">'Landscape Trees '!C193</f>
        <v>Smooth Sumac</v>
      </c>
      <c r="C374" s="42" t="str">
        <f ca="1">'Landscape Trees '!D193</f>
        <v>#5</v>
      </c>
      <c r="D374" s="42" t="str">
        <f ca="1">'Landscape Trees '!E193</f>
        <v>0.75-1"</v>
      </c>
      <c r="E374" s="42" t="str">
        <f ca="1">'Landscape Trees '!F193</f>
        <v>4-8'</v>
      </c>
      <c r="F374" s="52">
        <f ca="1">'Landscape Trees '!G193</f>
        <v>114</v>
      </c>
      <c r="G374" s="53">
        <f ca="1">'Landscape Trees '!H193</f>
        <v>50</v>
      </c>
      <c r="H374" s="51" t="str">
        <f t="shared" ca="1" si="3"/>
        <v>Smooth Sumac #5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Robina pseudoacacia</v>
      </c>
      <c r="B375" s="51" t="str">
        <f ca="1">'Landscape Trees '!C194</f>
        <v>Purple Robe Black Locust</v>
      </c>
      <c r="C375" s="42" t="str">
        <f ca="1">'Landscape Trees '!D194</f>
        <v>#5</v>
      </c>
      <c r="D375" s="42" t="str">
        <f ca="1">'Landscape Trees '!E194</f>
        <v>0.75-1"</v>
      </c>
      <c r="E375" s="42" t="str">
        <f ca="1">'Landscape Trees '!F194</f>
        <v>6-8'</v>
      </c>
      <c r="F375" s="52">
        <f ca="1">'Landscape Trees '!G194</f>
        <v>6</v>
      </c>
      <c r="G375" s="53">
        <f ca="1">'Landscape Trees '!H194</f>
        <v>50</v>
      </c>
      <c r="H375" s="51" t="str">
        <f t="shared" ca="1" si="3"/>
        <v>Purple Robe Black Locust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Salix alba "Tristis"</v>
      </c>
      <c r="B376" s="51" t="str">
        <f ca="1">'Landscape Trees '!C195</f>
        <v>Niobe Golden Willow</v>
      </c>
      <c r="C376" s="42" t="str">
        <f ca="1">'Landscape Trees '!D195</f>
        <v>#15</v>
      </c>
      <c r="D376" s="42" t="str">
        <f ca="1">'Landscape Trees '!E195</f>
        <v>1.5-1.75"</v>
      </c>
      <c r="E376" s="42" t="str">
        <f ca="1">'Landscape Trees '!F195</f>
        <v>10-12'</v>
      </c>
      <c r="F376" s="52">
        <f ca="1">'Landscape Trees '!G195</f>
        <v>11</v>
      </c>
      <c r="G376" s="53">
        <f ca="1">'Landscape Trees '!H195</f>
        <v>135</v>
      </c>
      <c r="H376" s="51" t="str">
        <f t="shared" ca="1" si="3"/>
        <v>Niobe Golden Willow #15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Salix babylonica</v>
      </c>
      <c r="B377" s="51" t="str">
        <f ca="1">'Landscape Trees '!C196</f>
        <v>Weeping Willow</v>
      </c>
      <c r="C377" s="42" t="str">
        <f ca="1">'Landscape Trees '!D196</f>
        <v>#5</v>
      </c>
      <c r="D377" s="42" t="str">
        <f ca="1">'Landscape Trees '!E196</f>
        <v>0.75-1.5"</v>
      </c>
      <c r="E377" s="42" t="str">
        <f ca="1">'Landscape Trees '!F196</f>
        <v>10-14'</v>
      </c>
      <c r="F377" s="52">
        <f ca="1">'Landscape Trees '!G196</f>
        <v>29</v>
      </c>
      <c r="G377" s="53">
        <f ca="1">'Landscape Trees '!H196</f>
        <v>50</v>
      </c>
      <c r="H377" s="51" t="str">
        <f t="shared" ca="1" si="3"/>
        <v>Weeping Willow #5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Salix babylonica</v>
      </c>
      <c r="B378" s="51" t="str">
        <f ca="1">'Landscape Trees '!C197</f>
        <v>Weeping Willow</v>
      </c>
      <c r="C378" s="42" t="str">
        <f ca="1">'Landscape Trees '!D197</f>
        <v>#7</v>
      </c>
      <c r="D378" s="42" t="str">
        <f ca="1">'Landscape Trees '!E197</f>
        <v>1.25-1.75"</v>
      </c>
      <c r="E378" s="42" t="str">
        <f ca="1">'Landscape Trees '!F197</f>
        <v>10-15'</v>
      </c>
      <c r="F378" s="52">
        <f ca="1">'Landscape Trees '!G197</f>
        <v>59</v>
      </c>
      <c r="G378" s="53">
        <f ca="1">'Landscape Trees '!H197</f>
        <v>60</v>
      </c>
      <c r="H378" s="51" t="str">
        <f t="shared" ca="1" si="3"/>
        <v>Weeping Willow #7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Salix babylonica</v>
      </c>
      <c r="B379" s="51" t="str">
        <f ca="1">'Landscape Trees '!C198</f>
        <v>Weeping Willow</v>
      </c>
      <c r="C379" s="42" t="str">
        <f ca="1">'Landscape Trees '!D198</f>
        <v>#15</v>
      </c>
      <c r="D379" s="42" t="str">
        <f ca="1">'Landscape Trees '!E198</f>
        <v>1.75-3"</v>
      </c>
      <c r="E379" s="42" t="str">
        <f ca="1">'Landscape Trees '!F198</f>
        <v>11-15'</v>
      </c>
      <c r="F379" s="52">
        <f ca="1">'Landscape Trees '!G198</f>
        <v>5</v>
      </c>
      <c r="G379" s="53">
        <f ca="1">'Landscape Trees '!H198</f>
        <v>135</v>
      </c>
      <c r="H379" s="51" t="str">
        <f t="shared" ca="1" si="3"/>
        <v>Weeping Willow #15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Salix nigra</v>
      </c>
      <c r="B380" s="51" t="str">
        <f ca="1">'Landscape Trees '!C199</f>
        <v>Black Willow</v>
      </c>
      <c r="C380" s="42" t="str">
        <f ca="1">'Landscape Trees '!D199</f>
        <v>#5</v>
      </c>
      <c r="D380" s="42" t="str">
        <f ca="1">'Landscape Trees '!E199</f>
        <v>Multi</v>
      </c>
      <c r="E380" s="42" t="str">
        <f ca="1">'Landscape Trees '!F199</f>
        <v>6-10.5'</v>
      </c>
      <c r="F380" s="52">
        <f ca="1">'Landscape Trees '!G199</f>
        <v>2</v>
      </c>
      <c r="G380" s="53">
        <f ca="1">'Landscape Trees '!H199</f>
        <v>50</v>
      </c>
      <c r="H380" s="51" t="str">
        <f t="shared" ca="1" si="3"/>
        <v>Black Willow #5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Salix pentaphyllum</v>
      </c>
      <c r="B381" s="51" t="str">
        <f ca="1">'Landscape Trees '!C200</f>
        <v>Prairie Cascade Willow</v>
      </c>
      <c r="C381" s="42" t="str">
        <f ca="1">'Landscape Trees '!D200</f>
        <v>#15</v>
      </c>
      <c r="D381" s="42" t="str">
        <f ca="1">'Landscape Trees '!E200</f>
        <v>1.25-2.25"</v>
      </c>
      <c r="E381" s="42" t="str">
        <f ca="1">'Landscape Trees '!F200</f>
        <v>10-15'</v>
      </c>
      <c r="F381" s="52">
        <f ca="1">'Landscape Trees '!G200</f>
        <v>19</v>
      </c>
      <c r="G381" s="53">
        <f ca="1">'Landscape Trees '!H200</f>
        <v>135</v>
      </c>
      <c r="H381" s="51" t="str">
        <f t="shared" ca="1" si="3"/>
        <v>Prairie Cascade Willow #15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Salix pentaphyllum</v>
      </c>
      <c r="B382" s="51" t="str">
        <f ca="1">'Landscape Trees '!C201</f>
        <v>Prairie Cascade Willow</v>
      </c>
      <c r="C382" s="42" t="str">
        <f ca="1">'Landscape Trees '!D201</f>
        <v>#25</v>
      </c>
      <c r="D382" s="42" t="str">
        <f ca="1">'Landscape Trees '!E201</f>
        <v>2-2.5"</v>
      </c>
      <c r="E382" s="42" t="str">
        <f ca="1">'Landscape Trees '!F201</f>
        <v>14-16'</v>
      </c>
      <c r="F382" s="52">
        <f ca="1">'Landscape Trees '!G201</f>
        <v>3</v>
      </c>
      <c r="G382" s="53">
        <f ca="1">'Landscape Trees '!H201</f>
        <v>150</v>
      </c>
      <c r="H382" s="51" t="str">
        <f t="shared" ca="1" si="3"/>
        <v>Prairie Cascade Willow #25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Sambucus canadensis</v>
      </c>
      <c r="B383" s="51" t="str">
        <f ca="1">'Landscape Trees '!C202</f>
        <v>Elderberry</v>
      </c>
      <c r="C383" s="42" t="str">
        <f ca="1">'Landscape Trees '!D202</f>
        <v>#5</v>
      </c>
      <c r="D383" s="42" t="str">
        <f ca="1">'Landscape Trees '!E202</f>
        <v>Multi</v>
      </c>
      <c r="E383" s="42" t="str">
        <f ca="1">'Landscape Trees '!F202</f>
        <v>3-7'</v>
      </c>
      <c r="F383" s="52">
        <f ca="1">'Landscape Trees '!G202</f>
        <v>81</v>
      </c>
      <c r="G383" s="53">
        <f ca="1">'Landscape Trees '!H202</f>
        <v>35</v>
      </c>
      <c r="H383" s="51" t="str">
        <f t="shared" ca="1" si="3"/>
        <v>Elderberry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Sambucus canadensis 'Pocahontas'</v>
      </c>
      <c r="B384" s="51" t="str">
        <f ca="1">'Landscape Trees '!C203</f>
        <v>Elderberry - Pocahontas</v>
      </c>
      <c r="C384" s="42" t="str">
        <f ca="1">'Landscape Trees '!D203</f>
        <v>#5</v>
      </c>
      <c r="D384" s="42" t="str">
        <f ca="1">'Landscape Trees '!E203</f>
        <v>Multi</v>
      </c>
      <c r="E384" s="42" t="str">
        <f ca="1">'Landscape Trees '!F203</f>
        <v>3-4'</v>
      </c>
      <c r="F384" s="52">
        <f ca="1">'Landscape Trees '!G203</f>
        <v>67</v>
      </c>
      <c r="G384" s="53">
        <f ca="1">'Landscape Trees '!H203</f>
        <v>35</v>
      </c>
      <c r="H384" s="51" t="str">
        <f t="shared" ca="1" si="3"/>
        <v>Elderberry - Pocahontas #5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Sambucus canadensis 'York'</v>
      </c>
      <c r="B385" s="51" t="str">
        <f ca="1">'Landscape Trees '!C204</f>
        <v>Elderberry - York</v>
      </c>
      <c r="C385" s="42" t="str">
        <f ca="1">'Landscape Trees '!D204</f>
        <v>#5</v>
      </c>
      <c r="D385" s="42" t="str">
        <f ca="1">'Landscape Trees '!E204</f>
        <v>Multi</v>
      </c>
      <c r="E385" s="42" t="str">
        <f ca="1">'Landscape Trees '!F204</f>
        <v>3-5'</v>
      </c>
      <c r="F385" s="52">
        <f ca="1">'Landscape Trees '!G204</f>
        <v>176</v>
      </c>
      <c r="G385" s="53">
        <f ca="1">'Landscape Trees '!H204</f>
        <v>35</v>
      </c>
      <c r="H385" s="51" t="str">
        <f t="shared" ca="1" si="3"/>
        <v>Elderberry - York #5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Stewartia pseudocamellia</v>
      </c>
      <c r="B386" s="51" t="str">
        <f ca="1">'Landscape Trees '!C205</f>
        <v>Japanese Stewartia</v>
      </c>
      <c r="C386" s="42" t="str">
        <f ca="1">'Landscape Trees '!D205</f>
        <v>#5</v>
      </c>
      <c r="D386" s="42" t="str">
        <f ca="1">'Landscape Trees '!E205</f>
        <v>0.5-1"</v>
      </c>
      <c r="E386" s="42" t="str">
        <f ca="1">'Landscape Trees '!F205</f>
        <v>4-7.5'</v>
      </c>
      <c r="F386" s="52">
        <f ca="1">'Landscape Trees '!G205</f>
        <v>32</v>
      </c>
      <c r="G386" s="53">
        <f ca="1">'Landscape Trees '!H205</f>
        <v>70</v>
      </c>
      <c r="H386" s="51" t="str">
        <f t="shared" ca="1" si="3"/>
        <v>Japanese Stewartia #5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Styrax americanus</v>
      </c>
      <c r="B387" s="51" t="str">
        <f ca="1">'Landscape Trees '!C206</f>
        <v>American Snowbell</v>
      </c>
      <c r="C387" s="42" t="str">
        <f ca="1">'Landscape Trees '!D206</f>
        <v>#5</v>
      </c>
      <c r="D387" s="42" t="str">
        <f ca="1">'Landscape Trees '!E206</f>
        <v>Multi</v>
      </c>
      <c r="E387" s="42" t="str">
        <f ca="1">'Landscape Trees '!F206</f>
        <v>4-5.5'</v>
      </c>
      <c r="F387" s="52">
        <f ca="1">'Landscape Trees '!G206</f>
        <v>58</v>
      </c>
      <c r="G387" s="53">
        <f ca="1">'Landscape Trees '!H206</f>
        <v>50</v>
      </c>
      <c r="H387" s="51" t="str">
        <f t="shared" ca="1" si="3"/>
        <v>American Snowbell #5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Styrax japonicus</v>
      </c>
      <c r="B388" s="51" t="str">
        <f ca="1">'Landscape Trees '!C207</f>
        <v>Japanese Snowbell</v>
      </c>
      <c r="C388" s="42" t="str">
        <f ca="1">'Landscape Trees '!D207</f>
        <v>#5</v>
      </c>
      <c r="D388" s="42" t="str">
        <f ca="1">'Landscape Trees '!E207</f>
        <v>Multi</v>
      </c>
      <c r="E388" s="42" t="str">
        <f ca="1">'Landscape Trees '!F207</f>
        <v>9-9'</v>
      </c>
      <c r="F388" s="52">
        <f ca="1">'Landscape Trees '!G207</f>
        <v>3</v>
      </c>
      <c r="G388" s="53">
        <f ca="1">'Landscape Trees '!H207</f>
        <v>50</v>
      </c>
      <c r="H388" s="51" t="str">
        <f t="shared" ca="1" si="3"/>
        <v>Japanese Snowbell #5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Syringa vulgaris</v>
      </c>
      <c r="B389" s="51" t="str">
        <f ca="1">'Landscape Trees '!C208</f>
        <v>Purple Lilac</v>
      </c>
      <c r="C389" s="42" t="str">
        <f ca="1">'Landscape Trees '!D208</f>
        <v>#5</v>
      </c>
      <c r="D389" s="42" t="str">
        <f ca="1">'Landscape Trees '!E208</f>
        <v>Multi</v>
      </c>
      <c r="E389" s="42" t="str">
        <f ca="1">'Landscape Trees '!F208</f>
        <v>2-7'</v>
      </c>
      <c r="F389" s="52">
        <f ca="1">'Landscape Trees '!G208</f>
        <v>7</v>
      </c>
      <c r="G389" s="53">
        <f ca="1">'Landscape Trees '!H208</f>
        <v>37</v>
      </c>
      <c r="H389" s="51" t="str">
        <f t="shared" ca="1" si="3"/>
        <v>Purple Lilac #5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Taxodium distichum</v>
      </c>
      <c r="B390" s="51" t="str">
        <f ca="1">'Landscape Trees '!C209</f>
        <v>Bald Cypress</v>
      </c>
      <c r="C390" s="42" t="str">
        <f ca="1">'Landscape Trees '!D209</f>
        <v>#5</v>
      </c>
      <c r="D390" s="42" t="str">
        <f ca="1">'Landscape Trees '!E209</f>
        <v>0.75-1"</v>
      </c>
      <c r="E390" s="42" t="str">
        <f ca="1">'Landscape Trees '!F209</f>
        <v>4-6'</v>
      </c>
      <c r="F390" s="52">
        <f ca="1">'Landscape Trees '!G209</f>
        <v>4</v>
      </c>
      <c r="G390" s="53">
        <f ca="1">'Landscape Trees '!H209</f>
        <v>50</v>
      </c>
      <c r="H390" s="51" t="str">
        <f t="shared" ca="1" si="3"/>
        <v>Bald Cypress #5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Taxodium distichum 'Lindsey's Skyward'</v>
      </c>
      <c r="B391" s="51" t="str">
        <f ca="1">'Landscape Trees '!C210</f>
        <v>Lindsey's Skyward Bald Cypress</v>
      </c>
      <c r="C391" s="42" t="str">
        <f ca="1">'Landscape Trees '!D210</f>
        <v>#10</v>
      </c>
      <c r="D391" s="42" t="str">
        <f ca="1">'Landscape Trees '!E210</f>
        <v>1.25-1.25"</v>
      </c>
      <c r="E391" s="42" t="str">
        <f ca="1">'Landscape Trees '!F210</f>
        <v>7-8'</v>
      </c>
      <c r="F391" s="52">
        <f ca="1">'Landscape Trees '!G210</f>
        <v>1</v>
      </c>
      <c r="G391" s="53">
        <f ca="1">'Landscape Trees '!H210</f>
        <v>100</v>
      </c>
      <c r="H391" s="51" t="str">
        <f t="shared" ca="1" si="3"/>
        <v>Lindsey's Skyward Bald Cypress #10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Taxodium distichum 'Shawnee Brave'</v>
      </c>
      <c r="B392" s="51" t="str">
        <f ca="1">'Landscape Trees '!C211</f>
        <v>Shawnee Brave Bald Cypress</v>
      </c>
      <c r="C392" s="42" t="str">
        <f ca="1">'Landscape Trees '!D211</f>
        <v>#15</v>
      </c>
      <c r="D392" s="42" t="str">
        <f ca="1">'Landscape Trees '!E211</f>
        <v>1.25-1.5"</v>
      </c>
      <c r="E392" s="42" t="str">
        <f ca="1">'Landscape Trees '!F211</f>
        <v>6-9'</v>
      </c>
      <c r="F392" s="52">
        <f ca="1">'Landscape Trees '!G211</f>
        <v>13</v>
      </c>
      <c r="G392" s="53">
        <f ca="1">'Landscape Trees '!H211</f>
        <v>135</v>
      </c>
      <c r="H392" s="51" t="str">
        <f t="shared" ca="1" si="3"/>
        <v>Shawnee Brave Bald Cypress #15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Tilia americana</v>
      </c>
      <c r="B393" s="51" t="str">
        <f ca="1">'Landscape Trees '!C212</f>
        <v>American Linden</v>
      </c>
      <c r="C393" s="42" t="str">
        <f ca="1">'Landscape Trees '!D212</f>
        <v>#5</v>
      </c>
      <c r="D393" s="42" t="str">
        <f ca="1">'Landscape Trees '!E212</f>
        <v>0.5-0.75"</v>
      </c>
      <c r="E393" s="42" t="str">
        <f ca="1">'Landscape Trees '!F212</f>
        <v>4-6'</v>
      </c>
      <c r="F393" s="52">
        <f ca="1">'Landscape Trees '!G212</f>
        <v>85</v>
      </c>
      <c r="G393" s="53">
        <f ca="1">'Landscape Trees '!H212</f>
        <v>50</v>
      </c>
      <c r="H393" s="51" t="str">
        <f t="shared" ca="1" si="3"/>
        <v>American Linden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Tilia americana 'American Sentry'</v>
      </c>
      <c r="B394" s="51" t="str">
        <f ca="1">'Landscape Trees '!C213</f>
        <v>American Sentry Linden</v>
      </c>
      <c r="C394" s="42" t="str">
        <f ca="1">'Landscape Trees '!D213</f>
        <v>#15</v>
      </c>
      <c r="D394" s="42" t="str">
        <f ca="1">'Landscape Trees '!E213</f>
        <v>1-1.75"</v>
      </c>
      <c r="E394" s="42" t="str">
        <f ca="1">'Landscape Trees '!F213</f>
        <v>10-12'</v>
      </c>
      <c r="F394" s="52">
        <f ca="1">'Landscape Trees '!G213</f>
        <v>6</v>
      </c>
      <c r="G394" s="53">
        <f ca="1">'Landscape Trees '!H213</f>
        <v>135</v>
      </c>
      <c r="H394" s="51" t="str">
        <f t="shared" ca="1" si="3"/>
        <v>American Sentry Linden #15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Tilia cordata</v>
      </c>
      <c r="B395" s="51" t="str">
        <f ca="1">'Landscape Trees '!C214</f>
        <v>Littleleaf Linden</v>
      </c>
      <c r="C395" s="42" t="str">
        <f ca="1">'Landscape Trees '!D214</f>
        <v>#5</v>
      </c>
      <c r="D395" s="42" t="str">
        <f ca="1">'Landscape Trees '!E214</f>
        <v>0.5-1.75"</v>
      </c>
      <c r="E395" s="42" t="str">
        <f ca="1">'Landscape Trees '!F214</f>
        <v>5-10'</v>
      </c>
      <c r="F395" s="52">
        <f ca="1">'Landscape Trees '!G214</f>
        <v>35</v>
      </c>
      <c r="G395" s="53">
        <f ca="1">'Landscape Trees '!H214</f>
        <v>50</v>
      </c>
      <c r="H395" s="51" t="str">
        <f t="shared" ca="1" si="3"/>
        <v>Littleleaf Linden #5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Tilia tomentosa</v>
      </c>
      <c r="B396" s="51" t="str">
        <f ca="1">'Landscape Trees '!C215</f>
        <v>Silver Linden</v>
      </c>
      <c r="C396" s="42" t="str">
        <f ca="1">'Landscape Trees '!D215</f>
        <v>#5</v>
      </c>
      <c r="D396" s="42" t="str">
        <f ca="1">'Landscape Trees '!E215</f>
        <v>0.75-1"</v>
      </c>
      <c r="E396" s="42" t="str">
        <f ca="1">'Landscape Trees '!F215</f>
        <v>5-7'</v>
      </c>
      <c r="F396" s="52">
        <f ca="1">'Landscape Trees '!G215</f>
        <v>20</v>
      </c>
      <c r="G396" s="53">
        <f ca="1">'Landscape Trees '!H215</f>
        <v>50</v>
      </c>
      <c r="H396" s="51" t="str">
        <f t="shared" ca="1" si="3"/>
        <v>Silver Linden #5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Ulmus americana 'Princeton'</v>
      </c>
      <c r="B397" s="51" t="str">
        <f ca="1">'Landscape Trees '!C216</f>
        <v>Princeton Elm</v>
      </c>
      <c r="C397" s="42" t="str">
        <f ca="1">'Landscape Trees '!D216</f>
        <v>#5</v>
      </c>
      <c r="D397" s="42" t="str">
        <f ca="1">'Landscape Trees '!E216</f>
        <v>0.5-1.5"</v>
      </c>
      <c r="E397" s="42" t="str">
        <f ca="1">'Landscape Trees '!F216</f>
        <v>5-14'</v>
      </c>
      <c r="F397" s="52">
        <f ca="1">'Landscape Trees '!G216</f>
        <v>26</v>
      </c>
      <c r="G397" s="53">
        <f ca="1">'Landscape Trees '!H216</f>
        <v>50</v>
      </c>
      <c r="H397" s="51" t="str">
        <f t="shared" ca="1" si="3"/>
        <v>Princeton Elm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Ulmus americana 'Princeton'</v>
      </c>
      <c r="B398" s="51" t="str">
        <f ca="1">'Landscape Trees '!C217</f>
        <v>Princeton Elm</v>
      </c>
      <c r="C398" s="42" t="str">
        <f ca="1">'Landscape Trees '!D217</f>
        <v>#15</v>
      </c>
      <c r="D398" s="42" t="str">
        <f ca="1">'Landscape Trees '!E217</f>
        <v>1-1.25"</v>
      </c>
      <c r="E398" s="42" t="str">
        <f ca="1">'Landscape Trees '!F217</f>
        <v>9-14'</v>
      </c>
      <c r="F398" s="52">
        <f ca="1">'Landscape Trees '!G217</f>
        <v>11</v>
      </c>
      <c r="G398" s="53">
        <f ca="1">'Landscape Trees '!H217</f>
        <v>135</v>
      </c>
      <c r="H398" s="51" t="str">
        <f t="shared" ca="1" si="3"/>
        <v>Princeton Elm #15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Viburnum trilobum</v>
      </c>
      <c r="B399" s="51" t="str">
        <f ca="1">'Landscape Trees '!C218</f>
        <v>Cranberry Viburnum</v>
      </c>
      <c r="C399" s="42" t="str">
        <f ca="1">'Landscape Trees '!D218</f>
        <v>#5</v>
      </c>
      <c r="D399" s="42" t="str">
        <f ca="1">'Landscape Trees '!E218</f>
        <v>Multi</v>
      </c>
      <c r="E399" s="42" t="str">
        <f ca="1">'Landscape Trees '!F218</f>
        <v>2-4'</v>
      </c>
      <c r="F399" s="52">
        <f ca="1">'Landscape Trees '!G218</f>
        <v>79</v>
      </c>
      <c r="G399" s="53">
        <f ca="1">'Landscape Trees '!H218</f>
        <v>37</v>
      </c>
      <c r="H399" s="51" t="str">
        <f t="shared" ca="1" si="3"/>
        <v>Cranberry Viburnum #5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Zelkova serrata 'Green Vase'</v>
      </c>
      <c r="B400" s="51" t="str">
        <f ca="1">'Landscape Trees '!C219</f>
        <v>Green Vase Zelkova</v>
      </c>
      <c r="C400" s="42" t="str">
        <f ca="1">'Landscape Trees '!D219</f>
        <v>#15</v>
      </c>
      <c r="D400" s="42" t="str">
        <f ca="1">'Landscape Trees '!E219</f>
        <v>1.25-1.75"</v>
      </c>
      <c r="E400" s="42" t="str">
        <f ca="1">'Landscape Trees '!F219</f>
        <v>12-14'</v>
      </c>
      <c r="F400" s="52">
        <f ca="1">'Landscape Trees '!G219</f>
        <v>17</v>
      </c>
      <c r="G400" s="53">
        <f ca="1">'Landscape Trees '!H219</f>
        <v>135</v>
      </c>
      <c r="H400" s="51" t="str">
        <f t="shared" ca="1" si="3"/>
        <v>Green Vase Zelkova #15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Zelkova serrata 'Green Vase'</v>
      </c>
      <c r="B401" s="51" t="str">
        <f ca="1">'Landscape Trees '!C220</f>
        <v>Green Vase Zelkova</v>
      </c>
      <c r="C401" s="42" t="str">
        <f ca="1">'Landscape Trees '!D220</f>
        <v>#25</v>
      </c>
      <c r="D401" s="42" t="str">
        <f ca="1">'Landscape Trees '!E220</f>
        <v>1.75-1.75"</v>
      </c>
      <c r="E401" s="42" t="str">
        <f ca="1">'Landscape Trees '!F220</f>
        <v>16-16'</v>
      </c>
      <c r="F401" s="52">
        <f ca="1">'Landscape Trees '!G220</f>
        <v>1</v>
      </c>
      <c r="G401" s="53">
        <f ca="1">'Landscape Trees '!H220</f>
        <v>150</v>
      </c>
      <c r="H401" s="51" t="str">
        <f t="shared" ca="1" si="3"/>
        <v>Green Vase Zelkova #25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Zelkova serrata 'Village Green'</v>
      </c>
      <c r="B402" s="51" t="str">
        <f ca="1">'Landscape Trees '!C221</f>
        <v>Village Green Zelkova</v>
      </c>
      <c r="C402" s="42" t="str">
        <f ca="1">'Landscape Trees '!D221</f>
        <v>#10</v>
      </c>
      <c r="D402" s="42" t="str">
        <f ca="1">'Landscape Trees '!E221</f>
        <v>1.5-1.75"</v>
      </c>
      <c r="E402" s="42" t="str">
        <f ca="1">'Landscape Trees '!F221</f>
        <v>11-12'</v>
      </c>
      <c r="F402" s="52">
        <f ca="1">'Landscape Trees '!G221</f>
        <v>3</v>
      </c>
      <c r="G402" s="53">
        <f ca="1">'Landscape Trees '!H221</f>
        <v>100</v>
      </c>
      <c r="H402" s="51" t="str">
        <f t="shared" ca="1" si="3"/>
        <v>Village Green Zelkova #10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zx - 1.5"x1.5"x6' Stakes</v>
      </c>
      <c r="B403" s="51" t="str">
        <f ca="1">'Landscape Trees '!C222</f>
        <v>zx - 1.5"x1.5"x6' Stakes</v>
      </c>
      <c r="C403" s="42">
        <f>'Landscape Trees '!D222</f>
        <v>0</v>
      </c>
      <c r="D403" s="42" t="str">
        <f ca="1">'Landscape Trees '!E222</f>
        <v>0-0"</v>
      </c>
      <c r="E403" s="42" t="str">
        <f ca="1">'Landscape Trees '!F222</f>
        <v>0-0'</v>
      </c>
      <c r="F403" s="52">
        <f ca="1">'Landscape Trees '!G222</f>
        <v>863</v>
      </c>
      <c r="G403" s="53">
        <f ca="1">'Landscape Trees '!H222</f>
        <v>3</v>
      </c>
      <c r="H403" s="51" t="str">
        <f t="shared" ca="1" si="3"/>
        <v>zx - 1.5"x1.5"x6' Stakes 0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zx - 4' Bark Protector</v>
      </c>
      <c r="B404" s="51" t="str">
        <f ca="1">'Landscape Trees '!C223</f>
        <v>zx - 4' Bark Protector</v>
      </c>
      <c r="C404" s="42">
        <f>'Landscape Trees '!D223</f>
        <v>0</v>
      </c>
      <c r="D404" s="42" t="str">
        <f ca="1">'Landscape Trees '!E223</f>
        <v>0-0"</v>
      </c>
      <c r="E404" s="42" t="str">
        <f ca="1">'Landscape Trees '!F223</f>
        <v>0-0'</v>
      </c>
      <c r="F404" s="52">
        <f ca="1">'Landscape Trees '!G223</f>
        <v>876</v>
      </c>
      <c r="G404" s="53">
        <f ca="1">'Landscape Trees '!H223</f>
        <v>10</v>
      </c>
      <c r="H404" s="51" t="str">
        <f t="shared" ca="1" si="3"/>
        <v>zx - 4' Bark Protector 0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zx - Felco #2 Pruners</v>
      </c>
      <c r="B405" s="51" t="str">
        <f ca="1">'Landscape Trees '!C224</f>
        <v>zx - Felco #2 Pruners</v>
      </c>
      <c r="C405" s="42">
        <f>'Landscape Trees '!D224</f>
        <v>0</v>
      </c>
      <c r="D405" s="42" t="str">
        <f ca="1">'Landscape Trees '!E224</f>
        <v>0-0"</v>
      </c>
      <c r="E405" s="42" t="str">
        <f ca="1">'Landscape Trees '!F224</f>
        <v>0-0'</v>
      </c>
      <c r="F405" s="52">
        <f ca="1">'Landscape Trees '!G224</f>
        <v>49</v>
      </c>
      <c r="G405" s="53">
        <f ca="1">'Landscape Trees '!H224</f>
        <v>65</v>
      </c>
      <c r="H405" s="51" t="str">
        <f t="shared" ca="1" si="3"/>
        <v>zx - Felco #2 Pruners 0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zx - Shade Tarp</v>
      </c>
      <c r="B406" s="51" t="str">
        <f ca="1">'Landscape Trees '!C225</f>
        <v>zx -Shade Tarp</v>
      </c>
      <c r="C406" s="42">
        <f>'Landscape Trees '!D225</f>
        <v>0</v>
      </c>
      <c r="D406" s="42" t="str">
        <f ca="1">'Landscape Trees '!E225</f>
        <v>0-0"</v>
      </c>
      <c r="E406" s="42" t="str">
        <f ca="1">'Landscape Trees '!F225</f>
        <v>0-0'</v>
      </c>
      <c r="F406" s="52">
        <f ca="1">'Landscape Trees '!G225</f>
        <v>9</v>
      </c>
      <c r="G406" s="53">
        <f ca="1">'Landscape Trees '!H225</f>
        <v>30</v>
      </c>
      <c r="H406" s="51" t="str">
        <f t="shared" ca="1" si="3"/>
        <v>zx -Shade Tarp 0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zx -Cages</v>
      </c>
      <c r="B407" s="51" t="str">
        <f ca="1">'Landscape Trees '!C226</f>
        <v>zx -Cages</v>
      </c>
      <c r="C407" s="42">
        <f>'Landscape Trees '!D226</f>
        <v>0</v>
      </c>
      <c r="D407" s="42" t="str">
        <f ca="1">'Landscape Trees '!E226</f>
        <v>0-0"</v>
      </c>
      <c r="E407" s="42" t="str">
        <f ca="1">'Landscape Trees '!F226</f>
        <v>0-0'</v>
      </c>
      <c r="F407" s="52">
        <f ca="1">'Landscape Trees '!G226</f>
        <v>981</v>
      </c>
      <c r="G407" s="53">
        <f ca="1">'Landscape Trees '!H226</f>
        <v>45</v>
      </c>
      <c r="H407" s="51" t="str">
        <f t="shared" ca="1" si="3"/>
        <v>zx -Cages 0</v>
      </c>
      <c r="I407" s="54"/>
      <c r="J407" s="55">
        <f t="shared" ca="1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A5:XFD5" name="Range2"/>
    <protectedRange sqref="I1:I1048576" name="Range1"/>
  </protectedRanges>
  <autoFilter ref="I1:I463" xr:uid="{00000000-0009-0000-0000-000000000000}"/>
  <customSheetViews>
    <customSheetView guid="{84178864-5D4C-44C1-AE1B-0A0C05904A32}" filter="1" showAutoFilter="1">
      <pageMargins left="0.7" right="0.7" top="0.75" bottom="0.75" header="0.3" footer="0.3"/>
      <autoFilter ref="F3:F463" xr:uid="{06A3637E-726A-4574-B525-E459FE1CD7A1}">
        <filterColumn colId="0">
          <filters blank="1">
            <filter val="1"/>
            <filter val="1. Pick Up     2. Delivery    3. Delivery &amp; Planting"/>
            <filter val="10"/>
            <filter val="100"/>
            <filter val="102"/>
            <filter val="104"/>
            <filter val="105"/>
            <filter val="108"/>
            <filter val="109"/>
            <filter val="11"/>
            <filter val="111"/>
            <filter val="112"/>
            <filter val="114"/>
            <filter val="119"/>
            <filter val="12"/>
            <filter val="121"/>
            <filter val="125"/>
            <filter val="126"/>
            <filter val="13"/>
            <filter val="130"/>
            <filter val="131"/>
            <filter val="138"/>
            <filter val="14"/>
            <filter val="141"/>
            <filter val="15"/>
            <filter val="153"/>
            <filter val="155"/>
            <filter val="156"/>
            <filter val="158"/>
            <filter val="159"/>
            <filter val="16"/>
            <filter val="168"/>
            <filter val="17"/>
            <filter val="171"/>
            <filter val="173"/>
            <filter val="176"/>
            <filter val="177"/>
            <filter val="18"/>
            <filter val="183"/>
            <filter val="19"/>
            <filter val="2"/>
            <filter val="20"/>
            <filter val="200"/>
            <filter val="201"/>
            <filter val="206"/>
            <filter val="21"/>
            <filter val="213"/>
            <filter val="215"/>
            <filter val="22"/>
            <filter val="23"/>
            <filter val="236"/>
            <filter val="25"/>
            <filter val="257"/>
            <filter val="26"/>
            <filter val="27"/>
            <filter val="28"/>
            <filter val="29"/>
            <filter val="292"/>
            <filter val="3"/>
            <filter val="31"/>
            <filter val="32"/>
            <filter val="33"/>
            <filter val="34"/>
            <filter val="35"/>
            <filter val="36"/>
            <filter val="37"/>
            <filter val="38"/>
            <filter val="39"/>
            <filter val="392"/>
            <filter val="4"/>
            <filter val="40"/>
            <filter val="41"/>
            <filter val="413"/>
            <filter val="42"/>
            <filter val="43"/>
            <filter val="44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6"/>
            <filter val="58"/>
            <filter val="59"/>
            <filter val="6"/>
            <filter val="60"/>
            <filter val="63"/>
            <filter val="64"/>
            <filter val="67"/>
            <filter val="68"/>
            <filter val="69"/>
            <filter val="7"/>
            <filter val="72"/>
            <filter val="73"/>
            <filter val="74"/>
            <filter val="75"/>
            <filter val="79"/>
            <filter val="8"/>
            <filter val="80"/>
            <filter val="81"/>
            <filter val="83"/>
            <filter val="85"/>
            <filter val="86"/>
            <filter val="863"/>
            <filter val="876"/>
            <filter val="9"/>
            <filter val="92"/>
            <filter val="96"/>
            <filter val="97"/>
            <filter val="981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IFERROR(__xludf.DUMMYFUNCTION("""COMPUTED_VALUE"""),25)</f>
        <v>25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IFERROR(__xludf.DUMMYFUNCTION("""COMPUTED_VALUE"""),131)</f>
        <v>131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IFERROR(__xludf.DUMMYFUNCTION("""COMPUTED_VALUE"""),73)</f>
        <v>73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Aztec Fuji")</f>
        <v>Apple - Aztec Fuji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IFERROR(__xludf.DUMMYFUNCTION("""COMPUTED_VALUE"""),"1-1""")</f>
        <v>1-1"</v>
      </c>
      <c r="E7" s="61" t="str">
        <f ca="1">IFERROR(__xludf.DUMMYFUNCTION("""COMPUTED_VALUE"""),"7-8'")</f>
        <v>7-8'</v>
      </c>
      <c r="F7" s="62">
        <f ca="1">IFERROR(__xludf.DUMMYFUNCTION("""COMPUTED_VALUE"""),14)</f>
        <v>14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Baldwin")</f>
        <v>Apple - Baldwin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IFERROR(__xludf.DUMMYFUNCTION("""COMPUTED_VALUE"""),"0.75-1.25""")</f>
        <v>0.75-1.25"</v>
      </c>
      <c r="E8" s="61" t="str">
        <f ca="1">IFERROR(__xludf.DUMMYFUNCTION("""COMPUTED_VALUE"""),"7-11'")</f>
        <v>7-11'</v>
      </c>
      <c r="F8" s="62">
        <f ca="1">IFERROR(__xludf.DUMMYFUNCTION("""COMPUTED_VALUE"""),74)</f>
        <v>74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Cortland")</f>
        <v>Apple - Cortland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IFERROR(__xludf.DUMMYFUNCTION("""COMPUTED_VALUE"""),"6-7'")</f>
        <v>6-7'</v>
      </c>
      <c r="F9" s="62">
        <f ca="1">IFERROR(__xludf.DUMMYFUNCTION("""COMPUTED_VALUE"""),38)</f>
        <v>38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Crimson Crisp")</f>
        <v>Apple - Crimson Crisp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IFERROR(__xludf.DUMMYFUNCTION("""COMPUTED_VALUE"""),"0.75-1""")</f>
        <v>0.75-1"</v>
      </c>
      <c r="E10" s="61" t="str">
        <f ca="1">IFERROR(__xludf.DUMMYFUNCTION("""COMPUTED_VALUE"""),"7-10'")</f>
        <v>7-10'</v>
      </c>
      <c r="F10" s="62">
        <f ca="1">IFERROR(__xludf.DUMMYFUNCTION("""COMPUTED_VALUE"""),44)</f>
        <v>44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Crown Empire")</f>
        <v>Apple - Crown Empire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IFERROR(__xludf.DUMMYFUNCTION("""COMPUTED_VALUE"""),"6-8'")</f>
        <v>6-8'</v>
      </c>
      <c r="F11" s="62">
        <f ca="1">IFERROR(__xludf.DUMMYFUNCTION("""COMPUTED_VALUE"""),15)</f>
        <v>15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Enterprise")</f>
        <v>Apple - Enterprise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IFERROR(__xludf.DUMMYFUNCTION("""COMPUTED_VALUE"""),"1-1.25""")</f>
        <v>1-1.25"</v>
      </c>
      <c r="E12" s="61" t="str">
        <f ca="1">IFERROR(__xludf.DUMMYFUNCTION("""COMPUTED_VALUE"""),"7-10'")</f>
        <v>7-10'</v>
      </c>
      <c r="F12" s="62">
        <f ca="1">IFERROR(__xludf.DUMMYFUNCTION("""COMPUTED_VALUE"""),392)</f>
        <v>392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IFERROR(__xludf.DUMMYFUNCTION("""COMPUTED_VALUE"""),10)</f>
        <v>10</v>
      </c>
      <c r="C13" s="61" t="str">
        <f ca="1">IFERROR(__xludf.DUMMYFUNCTION("""COMPUTED_VALUE"""),"#10")</f>
        <v>#10</v>
      </c>
      <c r="D13" s="61" t="str">
        <f ca="1">IFERROR(__xludf.DUMMYFUNCTION("""COMPUTED_VALUE"""),"1-1.25""")</f>
        <v>1-1.25"</v>
      </c>
      <c r="E13" s="61" t="str">
        <f ca="1">IFERROR(__xludf.DUMMYFUNCTION("""COMPUTED_VALUE"""),"7-10'")</f>
        <v>7-10'</v>
      </c>
      <c r="F13" s="62">
        <f ca="1">IFERROR(__xludf.DUMMYFUNCTION("""COMPUTED_VALUE"""),13)</f>
        <v>13</v>
      </c>
      <c r="G13" s="63">
        <f ca="1">IFERROR(__xludf.DUMMYFUNCTION("""COMPUTED_VALUE"""),100)</f>
        <v>100</v>
      </c>
    </row>
    <row r="14" spans="1:7" x14ac:dyDescent="0.2">
      <c r="A14" s="61" t="str">
        <f ca="1">IFERROR(__xludf.DUMMYFUNCTION("""COMPUTED_VALUE"""),"Apple - Freedom")</f>
        <v>Apple - Freedom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IFERROR(__xludf.DUMMYFUNCTION("""COMPUTED_VALUE"""),"1-1.25""")</f>
        <v>1-1.25"</v>
      </c>
      <c r="E14" s="61" t="str">
        <f ca="1">IFERROR(__xludf.DUMMYFUNCTION("""COMPUTED_VALUE"""),"7-8'")</f>
        <v>7-8'</v>
      </c>
      <c r="F14" s="62">
        <f ca="1">IFERROR(__xludf.DUMMYFUNCTION("""COMPUTED_VALUE"""),64)</f>
        <v>64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Fuji")</f>
        <v>Apple - Fuji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IFERROR(__xludf.DUMMYFUNCTION("""COMPUTED_VALUE"""),"0.75-1.25""")</f>
        <v>0.75-1.25"</v>
      </c>
      <c r="E15" s="61" t="str">
        <f ca="1">IFERROR(__xludf.DUMMYFUNCTION("""COMPUTED_VALUE"""),"6-10'")</f>
        <v>6-10'</v>
      </c>
      <c r="F15" s="62">
        <f ca="1">IFERROR(__xludf.DUMMYFUNCTION("""COMPUTED_VALUE"""),49)</f>
        <v>49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Gala")</f>
        <v>Apple - Gala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IFERROR(__xludf.DUMMYFUNCTION("""COMPUTED_VALUE"""),"6-10'")</f>
        <v>6-10'</v>
      </c>
      <c r="F16" s="62">
        <f ca="1">IFERROR(__xludf.DUMMYFUNCTION("""COMPUTED_VALUE"""),80)</f>
        <v>80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Galarina")</f>
        <v>Apple - Galarina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IFERROR(__xludf.DUMMYFUNCTION("""COMPUTED_VALUE"""),"1-1.25""")</f>
        <v>1-1.25"</v>
      </c>
      <c r="E17" s="61" t="str">
        <f ca="1">IFERROR(__xludf.DUMMYFUNCTION("""COMPUTED_VALUE"""),"8-11'")</f>
        <v>8-11'</v>
      </c>
      <c r="F17" s="62">
        <f ca="1">IFERROR(__xludf.DUMMYFUNCTION("""COMPUTED_VALUE"""),111)</f>
        <v>111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Gold Rush")</f>
        <v>Apple - Gold Rush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IFERROR(__xludf.DUMMYFUNCTION("""COMPUTED_VALUE"""),"0.75-1""")</f>
        <v>0.75-1"</v>
      </c>
      <c r="E18" s="61" t="str">
        <f ca="1">IFERROR(__xludf.DUMMYFUNCTION("""COMPUTED_VALUE"""),"7-10'")</f>
        <v>7-10'</v>
      </c>
      <c r="F18" s="62">
        <f ca="1">IFERROR(__xludf.DUMMYFUNCTION("""COMPUTED_VALUE"""),83)</f>
        <v>83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Granny Smith")</f>
        <v>Apple - Granny Smith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IFERROR(__xludf.DUMMYFUNCTION("""COMPUTED_VALUE"""),"0.75-1.25""")</f>
        <v>0.75-1.25"</v>
      </c>
      <c r="E19" s="61" t="str">
        <f ca="1">IFERROR(__xludf.DUMMYFUNCTION("""COMPUTED_VALUE"""),"7-11'")</f>
        <v>7-11'</v>
      </c>
      <c r="F19" s="62">
        <f ca="1">IFERROR(__xludf.DUMMYFUNCTION("""COMPUTED_VALUE"""),92)</f>
        <v>92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Honeycrisp")</f>
        <v>Apple - Honeycrisp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IFERROR(__xludf.DUMMYFUNCTION("""COMPUTED_VALUE"""),"0.75-1""")</f>
        <v>0.75-1"</v>
      </c>
      <c r="E20" s="61" t="str">
        <f ca="1">IFERROR(__xludf.DUMMYFUNCTION("""COMPUTED_VALUE"""),"6-9'")</f>
        <v>6-9'</v>
      </c>
      <c r="F20" s="62">
        <f ca="1">IFERROR(__xludf.DUMMYFUNCTION("""COMPUTED_VALUE"""),54)</f>
        <v>54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Honeycrisp")</f>
        <v>Apple - Honeycrisp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IFERROR(__xludf.DUMMYFUNCTION("""COMPUTED_VALUE"""),"7-10'")</f>
        <v>7-10'</v>
      </c>
      <c r="F21" s="62">
        <f ca="1">IFERROR(__xludf.DUMMYFUNCTION("""COMPUTED_VALUE"""),6)</f>
        <v>6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Initial")</f>
        <v>Apple - Initial</v>
      </c>
      <c r="B22" s="61">
        <f ca="1">IFERROR(__xludf.DUMMYFUNCTION("""COMPUTED_VALUE"""),5)</f>
        <v>5</v>
      </c>
      <c r="C22" s="61" t="str">
        <f ca="1">IFERROR(__xludf.DUMMYFUNCTION("""COMPUTED_VALUE"""),"#5")</f>
        <v>#5</v>
      </c>
      <c r="D22" s="61" t="str">
        <f ca="1">IFERROR(__xludf.DUMMYFUNCTION("""COMPUTED_VALUE"""),"1-1.25""")</f>
        <v>1-1.25"</v>
      </c>
      <c r="E22" s="61" t="str">
        <f ca="1">IFERROR(__xludf.DUMMYFUNCTION("""COMPUTED_VALUE"""),"6-9'")</f>
        <v>6-9'</v>
      </c>
      <c r="F22" s="62">
        <f ca="1">IFERROR(__xludf.DUMMYFUNCTION("""COMPUTED_VALUE"""),52)</f>
        <v>52</v>
      </c>
      <c r="G22" s="63">
        <f ca="1">IFERROR(__xludf.DUMMYFUNCTION("""COMPUTED_VALUE"""),55)</f>
        <v>55</v>
      </c>
    </row>
    <row r="23" spans="1:7" x14ac:dyDescent="0.2">
      <c r="A23" s="61" t="str">
        <f ca="1">IFERROR(__xludf.DUMMYFUNCTION("""COMPUTED_VALUE"""),"Apple - Liberty")</f>
        <v>Apple - Liberty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IFERROR(__xludf.DUMMYFUNCTION("""COMPUTED_VALUE"""),"7-10'")</f>
        <v>7-10'</v>
      </c>
      <c r="F23" s="62">
        <f ca="1">IFERROR(__xludf.DUMMYFUNCTION("""COMPUTED_VALUE"""),126)</f>
        <v>126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Liberty")</f>
        <v>Apple - Liberty</v>
      </c>
      <c r="B24" s="61">
        <f ca="1">IFERROR(__xludf.DUMMYFUNCTION("""COMPUTED_VALUE"""),10)</f>
        <v>10</v>
      </c>
      <c r="C24" s="61" t="str">
        <f ca="1">IFERROR(__xludf.DUMMYFUNCTION("""COMPUTED_VALUE"""),"#10")</f>
        <v>#10</v>
      </c>
      <c r="D24" s="61" t="str">
        <f ca="1">IFERROR(__xludf.DUMMYFUNCTION("""COMPUTED_VALUE"""),"1-1.25""")</f>
        <v>1-1.25"</v>
      </c>
      <c r="E24" s="61" t="str">
        <f ca="1">IFERROR(__xludf.DUMMYFUNCTION("""COMPUTED_VALUE"""),"7-9'")</f>
        <v>7-9'</v>
      </c>
      <c r="F24" s="62">
        <f ca="1">IFERROR(__xludf.DUMMYFUNCTION("""COMPUTED_VALUE"""),3)</f>
        <v>3</v>
      </c>
      <c r="G24" s="63">
        <f ca="1">IFERROR(__xludf.DUMMYFUNCTION("""COMPUTED_VALUE"""),100)</f>
        <v>100</v>
      </c>
    </row>
    <row r="25" spans="1:7" x14ac:dyDescent="0.2">
      <c r="A25" s="61" t="str">
        <f ca="1">IFERROR(__xludf.DUMMYFUNCTION("""COMPUTED_VALUE"""),"Apple - Macoun")</f>
        <v>Apple - Macoun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IFERROR(__xludf.DUMMYFUNCTION("""COMPUTED_VALUE"""),"0.75-1.25""")</f>
        <v>0.75-1.25"</v>
      </c>
      <c r="E25" s="61" t="str">
        <f ca="1">IFERROR(__xludf.DUMMYFUNCTION("""COMPUTED_VALUE"""),"7-11'")</f>
        <v>7-11'</v>
      </c>
      <c r="F25" s="62">
        <f ca="1">IFERROR(__xludf.DUMMYFUNCTION("""COMPUTED_VALUE"""),108)</f>
        <v>108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McIntosh")</f>
        <v>Apple - McIntosh</v>
      </c>
      <c r="B26" s="61">
        <f ca="1">IFERROR(__xludf.DUMMYFUNCTION("""COMPUTED_VALUE"""),5)</f>
        <v>5</v>
      </c>
      <c r="C26" s="61" t="str">
        <f ca="1">IFERROR(__xludf.DUMMYFUNCTION("""COMPUTED_VALUE"""),"#5")</f>
        <v>#5</v>
      </c>
      <c r="D26" s="61" t="str">
        <f ca="1">IFERROR(__xludf.DUMMYFUNCTION("""COMPUTED_VALUE"""),"0.75-1.5""")</f>
        <v>0.75-1.5"</v>
      </c>
      <c r="E26" s="61" t="str">
        <f ca="1">IFERROR(__xludf.DUMMYFUNCTION("""COMPUTED_VALUE"""),"6-10'")</f>
        <v>6-10'</v>
      </c>
      <c r="F26" s="62">
        <f ca="1">IFERROR(__xludf.DUMMYFUNCTION("""COMPUTED_VALUE"""),104)</f>
        <v>104</v>
      </c>
      <c r="G26" s="63">
        <f ca="1">IFERROR(__xludf.DUMMYFUNCTION("""COMPUTED_VALUE"""),55)</f>
        <v>55</v>
      </c>
    </row>
    <row r="27" spans="1:7" x14ac:dyDescent="0.2">
      <c r="A27" s="61" t="str">
        <f ca="1">IFERROR(__xludf.DUMMYFUNCTION("""COMPUTED_VALUE"""),"Apple - McIntosh")</f>
        <v>Apple - McIntosh</v>
      </c>
      <c r="B27" s="61">
        <f ca="1">IFERROR(__xludf.DUMMYFUNCTION("""COMPUTED_VALUE"""),10)</f>
        <v>10</v>
      </c>
      <c r="C27" s="61" t="str">
        <f ca="1">IFERROR(__xludf.DUMMYFUNCTION("""COMPUTED_VALUE"""),"#10")</f>
        <v>#10</v>
      </c>
      <c r="D27" s="61" t="str">
        <f ca="1">IFERROR(__xludf.DUMMYFUNCTION("""COMPUTED_VALUE"""),"1-1.25""")</f>
        <v>1-1.25"</v>
      </c>
      <c r="E27" s="61" t="str">
        <f ca="1">IFERROR(__xludf.DUMMYFUNCTION("""COMPUTED_VALUE"""),"9-10'")</f>
        <v>9-10'</v>
      </c>
      <c r="F27" s="62">
        <f ca="1">IFERROR(__xludf.DUMMYFUNCTION("""COMPUTED_VALUE"""),1)</f>
        <v>1</v>
      </c>
      <c r="G27" s="63">
        <f ca="1">IFERROR(__xludf.DUMMYFUNCTION("""COMPUTED_VALUE"""),100)</f>
        <v>100</v>
      </c>
    </row>
    <row r="28" spans="1:7" x14ac:dyDescent="0.2">
      <c r="A28" s="61" t="str">
        <f ca="1">IFERROR(__xludf.DUMMYFUNCTION("""COMPUTED_VALUE"""),"Apple - Nova Spy")</f>
        <v>Apple - Nova Spy</v>
      </c>
      <c r="B28" s="61">
        <f ca="1">IFERROR(__xludf.DUMMYFUNCTION("""COMPUTED_VALUE"""),5)</f>
        <v>5</v>
      </c>
      <c r="C28" s="61" t="str">
        <f ca="1">IFERROR(__xludf.DUMMYFUNCTION("""COMPUTED_VALUE"""),"#5")</f>
        <v>#5</v>
      </c>
      <c r="D28" s="61" t="str">
        <f ca="1">IFERROR(__xludf.DUMMYFUNCTION("""COMPUTED_VALUE"""),"0.75-1""")</f>
        <v>0.75-1"</v>
      </c>
      <c r="E28" s="61" t="str">
        <f ca="1">IFERROR(__xludf.DUMMYFUNCTION("""COMPUTED_VALUE"""),"9-10'")</f>
        <v>9-10'</v>
      </c>
      <c r="F28" s="62">
        <f ca="1">IFERROR(__xludf.DUMMYFUNCTION("""COMPUTED_VALUE"""),141)</f>
        <v>141</v>
      </c>
      <c r="G28" s="63">
        <f ca="1">IFERROR(__xludf.DUMMYFUNCTION("""COMPUTED_VALUE"""),55)</f>
        <v>55</v>
      </c>
    </row>
    <row r="29" spans="1:7" x14ac:dyDescent="0.2">
      <c r="A29" s="61" t="str">
        <f ca="1">IFERROR(__xludf.DUMMYFUNCTION("""COMPUTED_VALUE"""),"Apple - Pink Lady")</f>
        <v>Apple - Pink Lady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IFERROR(__xludf.DUMMYFUNCTION("""COMPUTED_VALUE"""),"0.75-1""")</f>
        <v>0.75-1"</v>
      </c>
      <c r="E29" s="61" t="str">
        <f ca="1">IFERROR(__xludf.DUMMYFUNCTION("""COMPUTED_VALUE"""),"5.5-6.5'")</f>
        <v>5.5-6.5'</v>
      </c>
      <c r="F29" s="62">
        <f ca="1">IFERROR(__xludf.DUMMYFUNCTION("""COMPUTED_VALUE"""),23)</f>
        <v>23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Querina")</f>
        <v>Apple - Querina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IFERROR(__xludf.DUMMYFUNCTION("""COMPUTED_VALUE"""),"1-1.25""")</f>
        <v>1-1.25"</v>
      </c>
      <c r="E30" s="61" t="str">
        <f ca="1">IFERROR(__xludf.DUMMYFUNCTION("""COMPUTED_VALUE"""),"7-11'")</f>
        <v>7-11'</v>
      </c>
      <c r="F30" s="62">
        <f ca="1">IFERROR(__xludf.DUMMYFUNCTION("""COMPUTED_VALUE"""),183)</f>
        <v>183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Querina")</f>
        <v>Apple - Querina</v>
      </c>
      <c r="B31" s="61">
        <f ca="1">IFERROR(__xludf.DUMMYFUNCTION("""COMPUTED_VALUE"""),10)</f>
        <v>10</v>
      </c>
      <c r="C31" s="61" t="str">
        <f ca="1">IFERROR(__xludf.DUMMYFUNCTION("""COMPUTED_VALUE"""),"#10")</f>
        <v>#10</v>
      </c>
      <c r="D31" s="61" t="str">
        <f ca="1">IFERROR(__xludf.DUMMYFUNCTION("""COMPUTED_VALUE"""),"1-1.25""")</f>
        <v>1-1.25"</v>
      </c>
      <c r="E31" s="61" t="str">
        <f ca="1">IFERROR(__xludf.DUMMYFUNCTION("""COMPUTED_VALUE"""),"7-8'")</f>
        <v>7-8'</v>
      </c>
      <c r="F31" s="62">
        <f ca="1">IFERROR(__xludf.DUMMYFUNCTION("""COMPUTED_VALUE"""),10)</f>
        <v>10</v>
      </c>
      <c r="G31" s="63">
        <f ca="1">IFERROR(__xludf.DUMMYFUNCTION("""COMPUTED_VALUE"""),100)</f>
        <v>100</v>
      </c>
    </row>
    <row r="32" spans="1:7" x14ac:dyDescent="0.2">
      <c r="A32" s="61" t="str">
        <f ca="1">IFERROR(__xludf.DUMMYFUNCTION("""COMPUTED_VALUE"""),"Apple - Red Cameo")</f>
        <v>Apple - Red Cameo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IFERROR(__xludf.DUMMYFUNCTION("""COMPUTED_VALUE"""),"0.75-1""")</f>
        <v>0.75-1"</v>
      </c>
      <c r="E32" s="61" t="str">
        <f ca="1">IFERROR(__xludf.DUMMYFUNCTION("""COMPUTED_VALUE"""),"8-9'")</f>
        <v>8-9'</v>
      </c>
      <c r="F32" s="62">
        <f ca="1">IFERROR(__xludf.DUMMYFUNCTION("""COMPUTED_VALUE"""),27)</f>
        <v>27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Red Delicious")</f>
        <v>Apple - Red Delicious</v>
      </c>
      <c r="B33" s="61">
        <f ca="1">IFERROR(__xludf.DUMMYFUNCTION("""COMPUTED_VALUE"""),5)</f>
        <v>5</v>
      </c>
      <c r="C33" s="61" t="str">
        <f ca="1">IFERROR(__xludf.DUMMYFUNCTION("""COMPUTED_VALUE"""),"#5")</f>
        <v>#5</v>
      </c>
      <c r="D33" s="61" t="str">
        <f ca="1">IFERROR(__xludf.DUMMYFUNCTION("""COMPUTED_VALUE"""),"0.75-1.25""")</f>
        <v>0.75-1.25"</v>
      </c>
      <c r="E33" s="61" t="str">
        <f ca="1">IFERROR(__xludf.DUMMYFUNCTION("""COMPUTED_VALUE"""),"6-11'")</f>
        <v>6-11'</v>
      </c>
      <c r="F33" s="62">
        <f ca="1">IFERROR(__xludf.DUMMYFUNCTION("""COMPUTED_VALUE"""),138)</f>
        <v>138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IFERROR(__xludf.DUMMYFUNCTION("""COMPUTED_VALUE"""),"Apple - Red Delicious")</f>
        <v>Apple - Red Delicious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IFERROR(__xludf.DUMMYFUNCTION("""COMPUTED_VALUE"""),"1-1.5""")</f>
        <v>1-1.5"</v>
      </c>
      <c r="E34" s="61" t="str">
        <f ca="1">IFERROR(__xludf.DUMMYFUNCTION("""COMPUTED_VALUE"""),"10-11'")</f>
        <v>10-11'</v>
      </c>
      <c r="F34" s="62">
        <f ca="1">IFERROR(__xludf.DUMMYFUNCTION("""COMPUTED_VALUE"""),7)</f>
        <v>7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IFERROR(__xludf.DUMMYFUNCTION("""COMPUTED_VALUE"""),"Apple - RubyRush")</f>
        <v>Apple - RubyRush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IFERROR(__xludf.DUMMYFUNCTION("""COMPUTED_VALUE"""),"0.75-1.25""")</f>
        <v>0.75-1.25"</v>
      </c>
      <c r="E35" s="61" t="str">
        <f ca="1">IFERROR(__xludf.DUMMYFUNCTION("""COMPUTED_VALUE"""),"8.5-10'")</f>
        <v>8.5-10'</v>
      </c>
      <c r="F35" s="62">
        <f ca="1">IFERROR(__xludf.DUMMYFUNCTION("""COMPUTED_VALUE"""),40)</f>
        <v>40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Spur Winter Banana")</f>
        <v>Apple - Spur Winter Banana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IFERROR(__xludf.DUMMYFUNCTION("""COMPUTED_VALUE"""),"0.75-1.25""")</f>
        <v>0.75-1.25"</v>
      </c>
      <c r="E36" s="61" t="str">
        <f ca="1">IFERROR(__xludf.DUMMYFUNCTION("""COMPUTED_VALUE"""),"4-8'")</f>
        <v>4-8'</v>
      </c>
      <c r="F36" s="62">
        <f ca="1">IFERROR(__xludf.DUMMYFUNCTION("""COMPUTED_VALUE"""),21)</f>
        <v>21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Winesap")</f>
        <v>Apple - Winesap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IFERROR(__xludf.DUMMYFUNCTION("""COMPUTED_VALUE"""),"0.75-1.25""")</f>
        <v>0.75-1.25"</v>
      </c>
      <c r="E37" s="61" t="str">
        <f ca="1">IFERROR(__xludf.DUMMYFUNCTION("""COMPUTED_VALUE"""),"7-10'")</f>
        <v>7-10'</v>
      </c>
      <c r="F37" s="62">
        <f ca="1">IFERROR(__xludf.DUMMYFUNCTION("""COMPUTED_VALUE"""),96)</f>
        <v>96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Wolf River")</f>
        <v>Apple - Wolf River</v>
      </c>
      <c r="B38" s="61">
        <f ca="1">IFERROR(__xludf.DUMMYFUNCTION("""COMPUTED_VALUE"""),5)</f>
        <v>5</v>
      </c>
      <c r="C38" s="61" t="str">
        <f ca="1">IFERROR(__xludf.DUMMYFUNCTION("""COMPUTED_VALUE"""),"#10")</f>
        <v>#10</v>
      </c>
      <c r="D38" s="61" t="str">
        <f ca="1">IFERROR(__xludf.DUMMYFUNCTION("""COMPUTED_VALUE"""),"1-1.25""")</f>
        <v>1-1.25"</v>
      </c>
      <c r="E38" s="61" t="str">
        <f ca="1">IFERROR(__xludf.DUMMYFUNCTION("""COMPUTED_VALUE"""),"8-9'")</f>
        <v>8-9'</v>
      </c>
      <c r="F38" s="62">
        <f ca="1">IFERROR(__xludf.DUMMYFUNCTION("""COMPUTED_VALUE"""),10)</f>
        <v>10</v>
      </c>
      <c r="G38" s="63">
        <f ca="1">IFERROR(__xludf.DUMMYFUNCTION("""COMPUTED_VALUE"""),100)</f>
        <v>100</v>
      </c>
    </row>
    <row r="39" spans="1:7" x14ac:dyDescent="0.2">
      <c r="A39" s="61" t="str">
        <f ca="1">IFERROR(__xludf.DUMMYFUNCTION("""COMPUTED_VALUE"""),"Apple - Wolf River")</f>
        <v>Apple - Wolf River</v>
      </c>
      <c r="B39" s="61"/>
      <c r="C39" s="61" t="str">
        <f ca="1">IFERROR(__xludf.DUMMYFUNCTION("""COMPUTED_VALUE"""),"#5")</f>
        <v>#5</v>
      </c>
      <c r="D39" s="61" t="str">
        <f ca="1">IFERROR(__xludf.DUMMYFUNCTION("""COMPUTED_VALUE"""),"0.75-1""")</f>
        <v>0.75-1"</v>
      </c>
      <c r="E39" s="61" t="str">
        <f ca="1">IFERROR(__xludf.DUMMYFUNCTION("""COMPUTED_VALUE"""),"7-8.5'")</f>
        <v>7-8.5'</v>
      </c>
      <c r="F39" s="62">
        <f ca="1">IFERROR(__xludf.DUMMYFUNCTION("""COMPUTED_VALUE"""),85)</f>
        <v>85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IFERROR(__xludf.DUMMYFUNCTION("""COMPUTED_VALUE"""),"Apricot - OrangeRed")</f>
        <v>Apricot - OrangeRed</v>
      </c>
      <c r="B40" s="61">
        <f ca="1">IFERROR(__xludf.DUMMYFUNCTION("""COMPUTED_VALUE"""),7)</f>
        <v>7</v>
      </c>
      <c r="C40" s="61" t="str">
        <f ca="1">IFERROR(__xludf.DUMMYFUNCTION("""COMPUTED_VALUE"""),"#7")</f>
        <v>#7</v>
      </c>
      <c r="D40" s="61" t="str">
        <f ca="1">IFERROR(__xludf.DUMMYFUNCTION("""COMPUTED_VALUE"""),"1-1.25""")</f>
        <v>1-1.25"</v>
      </c>
      <c r="E40" s="61" t="str">
        <f ca="1">IFERROR(__xludf.DUMMYFUNCTION("""COMPUTED_VALUE"""),"7-9'")</f>
        <v>7-9'</v>
      </c>
      <c r="F40" s="62">
        <f ca="1">IFERROR(__xludf.DUMMYFUNCTION("""COMPUTED_VALUE"""),4)</f>
        <v>4</v>
      </c>
      <c r="G40" s="63">
        <f ca="1">IFERROR(__xludf.DUMMYFUNCTION("""COMPUTED_VALUE"""),100)</f>
        <v>100</v>
      </c>
    </row>
    <row r="41" spans="1:7" x14ac:dyDescent="0.2">
      <c r="A41" s="61" t="str">
        <f ca="1">IFERROR(__xludf.DUMMYFUNCTION("""COMPUTED_VALUE"""),"Apricot - OrangeRed")</f>
        <v>Apricot - OrangeRed</v>
      </c>
      <c r="B41" s="61">
        <f ca="1">IFERROR(__xludf.DUMMYFUNCTION("""COMPUTED_VALUE"""),10)</f>
        <v>10</v>
      </c>
      <c r="C41" s="61" t="str">
        <f ca="1">IFERROR(__xludf.DUMMYFUNCTION("""COMPUTED_VALUE"""),"#10")</f>
        <v>#10</v>
      </c>
      <c r="D41" s="61" t="str">
        <f ca="1">IFERROR(__xludf.DUMMYFUNCTION("""COMPUTED_VALUE"""),"1-1.25""")</f>
        <v>1-1.25"</v>
      </c>
      <c r="E41" s="61" t="str">
        <f ca="1">IFERROR(__xludf.DUMMYFUNCTION("""COMPUTED_VALUE"""),"8-10'")</f>
        <v>8-10'</v>
      </c>
      <c r="F41" s="62">
        <f ca="1">IFERROR(__xludf.DUMMYFUNCTION("""COMPUTED_VALUE"""),9)</f>
        <v>9</v>
      </c>
      <c r="G41" s="63">
        <f ca="1">IFERROR(__xludf.DUMMYFUNCTION("""COMPUTED_VALUE"""),100)</f>
        <v>100</v>
      </c>
    </row>
    <row r="42" spans="1:7" x14ac:dyDescent="0.2">
      <c r="A42" s="61" t="str">
        <f ca="1">IFERROR(__xludf.DUMMYFUNCTION("""COMPUTED_VALUE"""),"Asian Pear - Hosui")</f>
        <v>Asian Pear - Hosui</v>
      </c>
      <c r="B42" s="61">
        <f ca="1">IFERROR(__xludf.DUMMYFUNCTION("""COMPUTED_VALUE"""),7)</f>
        <v>7</v>
      </c>
      <c r="C42" s="61" t="str">
        <f ca="1">IFERROR(__xludf.DUMMYFUNCTION("""COMPUTED_VALUE"""),"#7")</f>
        <v>#7</v>
      </c>
      <c r="D42" s="61" t="str">
        <f ca="1">IFERROR(__xludf.DUMMYFUNCTION("""COMPUTED_VALUE"""),"0.75-1.25""")</f>
        <v>0.75-1.25"</v>
      </c>
      <c r="E42" s="61" t="str">
        <f ca="1">IFERROR(__xludf.DUMMYFUNCTION("""COMPUTED_VALUE"""),"7-10'")</f>
        <v>7-10'</v>
      </c>
      <c r="F42" s="62">
        <f ca="1">IFERROR(__xludf.DUMMYFUNCTION("""COMPUTED_VALUE"""),53)</f>
        <v>53</v>
      </c>
      <c r="G42" s="63">
        <f ca="1">IFERROR(__xludf.DUMMYFUNCTION("""COMPUTED_VALUE"""),80)</f>
        <v>80</v>
      </c>
    </row>
    <row r="43" spans="1:7" x14ac:dyDescent="0.2">
      <c r="A43" s="61" t="str">
        <f ca="1">IFERROR(__xludf.DUMMYFUNCTION("""COMPUTED_VALUE"""),"Asian Pear - Kosui")</f>
        <v>Asian Pear - Kosui</v>
      </c>
      <c r="B43" s="61">
        <f ca="1">IFERROR(__xludf.DUMMYFUNCTION("""COMPUTED_VALUE"""),7)</f>
        <v>7</v>
      </c>
      <c r="C43" s="61" t="str">
        <f ca="1">IFERROR(__xludf.DUMMYFUNCTION("""COMPUTED_VALUE"""),"#7")</f>
        <v>#7</v>
      </c>
      <c r="D43" s="61" t="str">
        <f ca="1">IFERROR(__xludf.DUMMYFUNCTION("""COMPUTED_VALUE"""),"1-1.5""")</f>
        <v>1-1.5"</v>
      </c>
      <c r="E43" s="61" t="str">
        <f ca="1">IFERROR(__xludf.DUMMYFUNCTION("""COMPUTED_VALUE"""),"8-11'")</f>
        <v>8-11'</v>
      </c>
      <c r="F43" s="62">
        <f ca="1">IFERROR(__xludf.DUMMYFUNCTION("""COMPUTED_VALUE"""),97)</f>
        <v>97</v>
      </c>
      <c r="G43" s="63">
        <f ca="1">IFERROR(__xludf.DUMMYFUNCTION("""COMPUTED_VALUE"""),80)</f>
        <v>80</v>
      </c>
    </row>
    <row r="44" spans="1:7" x14ac:dyDescent="0.2">
      <c r="A44" s="61" t="str">
        <f ca="1">IFERROR(__xludf.DUMMYFUNCTION("""COMPUTED_VALUE"""),"Asian Pear - Olympic")</f>
        <v>Asian Pear - Olympic</v>
      </c>
      <c r="B44" s="61">
        <f ca="1">IFERROR(__xludf.DUMMYFUNCTION("""COMPUTED_VALUE"""),7)</f>
        <v>7</v>
      </c>
      <c r="C44" s="61" t="str">
        <f ca="1">IFERROR(__xludf.DUMMYFUNCTION("""COMPUTED_VALUE"""),"#7")</f>
        <v>#7</v>
      </c>
      <c r="D44" s="61" t="str">
        <f ca="1">IFERROR(__xludf.DUMMYFUNCTION("""COMPUTED_VALUE"""),"0.75-1.5""")</f>
        <v>0.75-1.5"</v>
      </c>
      <c r="E44" s="61" t="str">
        <f ca="1">IFERROR(__xludf.DUMMYFUNCTION("""COMPUTED_VALUE"""),"6-11'")</f>
        <v>6-11'</v>
      </c>
      <c r="F44" s="62">
        <f ca="1">IFERROR(__xludf.DUMMYFUNCTION("""COMPUTED_VALUE"""),171)</f>
        <v>171</v>
      </c>
      <c r="G44" s="63">
        <f ca="1">IFERROR(__xludf.DUMMYFUNCTION("""COMPUTED_VALUE"""),80)</f>
        <v>80</v>
      </c>
    </row>
    <row r="45" spans="1:7" x14ac:dyDescent="0.2">
      <c r="A45" s="61" t="str">
        <f ca="1">IFERROR(__xludf.DUMMYFUNCTION("""COMPUTED_VALUE"""),"Asian Pear - Shinko")</f>
        <v>Asian Pear - Shinko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IFERROR(__xludf.DUMMYFUNCTION("""COMPUTED_VALUE"""),"1-1.25""")</f>
        <v>1-1.25"</v>
      </c>
      <c r="E45" s="61" t="str">
        <f ca="1">IFERROR(__xludf.DUMMYFUNCTION("""COMPUTED_VALUE"""),"8-10'")</f>
        <v>8-10'</v>
      </c>
      <c r="F45" s="62">
        <f ca="1">IFERROR(__xludf.DUMMYFUNCTION("""COMPUTED_VALUE"""),1)</f>
        <v>1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IFERROR(__xludf.DUMMYFUNCTION("""COMPUTED_VALUE"""),"Asian Pear - Shinko")</f>
        <v>Asian Pear - Shinko</v>
      </c>
      <c r="B46" s="61">
        <f ca="1">IFERROR(__xludf.DUMMYFUNCTION("""COMPUTED_VALUE"""),7)</f>
        <v>7</v>
      </c>
      <c r="C46" s="61" t="str">
        <f ca="1">IFERROR(__xludf.DUMMYFUNCTION("""COMPUTED_VALUE"""),"#7")</f>
        <v>#7</v>
      </c>
      <c r="D46" s="61" t="str">
        <f ca="1">IFERROR(__xludf.DUMMYFUNCTION("""COMPUTED_VALUE"""),"0.75-1.5""")</f>
        <v>0.75-1.5"</v>
      </c>
      <c r="E46" s="61" t="str">
        <f ca="1">IFERROR(__xludf.DUMMYFUNCTION("""COMPUTED_VALUE"""),"7-12'")</f>
        <v>7-12'</v>
      </c>
      <c r="F46" s="62">
        <f ca="1">IFERROR(__xludf.DUMMYFUNCTION("""COMPUTED_VALUE"""),79)</f>
        <v>79</v>
      </c>
      <c r="G46" s="63">
        <f ca="1">IFERROR(__xludf.DUMMYFUNCTION("""COMPUTED_VALUE"""),80)</f>
        <v>80</v>
      </c>
    </row>
    <row r="47" spans="1:7" x14ac:dyDescent="0.2">
      <c r="A47" s="61" t="str">
        <f ca="1">IFERROR(__xludf.DUMMYFUNCTION("""COMPUTED_VALUE"""),"Blackberry - Prime-ark 'Freedom'")</f>
        <v>Blackberry - Prime-ark 'Freedom'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IFERROR(__xludf.DUMMYFUNCTION("""COMPUTED_VALUE"""),"3-6'")</f>
        <v>3-6'</v>
      </c>
      <c r="F47" s="62">
        <f ca="1">IFERROR(__xludf.DUMMYFUNCTION("""COMPUTED_VALUE"""),1)</f>
        <v>1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IFERROR(__xludf.DUMMYFUNCTION("""COMPUTED_VALUE"""),"Cherry (Sour) - Montmorency")</f>
        <v>Cherry (Sour) - Montmorency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IFERROR(__xludf.DUMMYFUNCTION("""COMPUTED_VALUE"""),"0.75-1.25""")</f>
        <v>0.75-1.25"</v>
      </c>
      <c r="E48" s="61" t="str">
        <f ca="1">IFERROR(__xludf.DUMMYFUNCTION("""COMPUTED_VALUE"""),"5-7'")</f>
        <v>5-7'</v>
      </c>
      <c r="F48" s="62">
        <f ca="1">IFERROR(__xludf.DUMMYFUNCTION("""COMPUTED_VALUE"""),42)</f>
        <v>42</v>
      </c>
      <c r="G48" s="63">
        <f ca="1">IFERROR(__xludf.DUMMYFUNCTION("""COMPUTED_VALUE"""),80)</f>
        <v>80</v>
      </c>
    </row>
    <row r="49" spans="1:7" x14ac:dyDescent="0.2">
      <c r="A49" s="61" t="str">
        <f ca="1">IFERROR(__xludf.DUMMYFUNCTION("""COMPUTED_VALUE"""),"Chestnut - Chinese")</f>
        <v>Chestnut - Chinese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IFERROR(__xludf.DUMMYFUNCTION("""COMPUTED_VALUE"""),"0.5-0.75""")</f>
        <v>0.5-0.75"</v>
      </c>
      <c r="E49" s="61" t="str">
        <f ca="1">IFERROR(__xludf.DUMMYFUNCTION("""COMPUTED_VALUE"""),"4-8'")</f>
        <v>4-8'</v>
      </c>
      <c r="F49" s="62">
        <f ca="1">IFERROR(__xludf.DUMMYFUNCTION("""COMPUTED_VALUE"""),153)</f>
        <v>153</v>
      </c>
      <c r="G49" s="63">
        <f ca="1">IFERROR(__xludf.DUMMYFUNCTION("""COMPUTED_VALUE"""),55)</f>
        <v>55</v>
      </c>
    </row>
    <row r="50" spans="1:7" x14ac:dyDescent="0.2">
      <c r="A50" s="61" t="str">
        <f ca="1">IFERROR(__xludf.DUMMYFUNCTION("""COMPUTED_VALUE"""),"Chestnut - Chinese Jenny")</f>
        <v>Chestnut - Chinese Jenny</v>
      </c>
      <c r="B50" s="61">
        <f ca="1">IFERROR(__xludf.DUMMYFUNCTION("""COMPUTED_VALUE"""),5)</f>
        <v>5</v>
      </c>
      <c r="C50" s="61" t="str">
        <f ca="1">IFERROR(__xludf.DUMMYFUNCTION("""COMPUTED_VALUE"""),"#3")</f>
        <v>#3</v>
      </c>
      <c r="D50" s="61" t="str">
        <f ca="1">IFERROR(__xludf.DUMMYFUNCTION("""COMPUTED_VALUE"""),"0.5-0.75""")</f>
        <v>0.5-0.75"</v>
      </c>
      <c r="E50" s="61" t="str">
        <f ca="1">IFERROR(__xludf.DUMMYFUNCTION("""COMPUTED_VALUE"""),"5-6'")</f>
        <v>5-6'</v>
      </c>
      <c r="F50" s="62">
        <f ca="1">IFERROR(__xludf.DUMMYFUNCTION("""COMPUTED_VALUE"""),1)</f>
        <v>1</v>
      </c>
      <c r="G50" s="63">
        <f ca="1">IFERROR(__xludf.DUMMYFUNCTION("""COMPUTED_VALUE"""),50)</f>
        <v>50</v>
      </c>
    </row>
    <row r="51" spans="1:7" x14ac:dyDescent="0.2">
      <c r="A51" s="61" t="str">
        <f ca="1">IFERROR(__xludf.DUMMYFUNCTION("""COMPUTED_VALUE"""),"Currant - Rovada Red")</f>
        <v>Currant - Rovada Red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IFERROR(__xludf.DUMMYFUNCTION("""COMPUTED_VALUE"""),"Multi")</f>
        <v>Multi</v>
      </c>
      <c r="E51" s="61" t="str">
        <f ca="1">IFERROR(__xludf.DUMMYFUNCTION("""COMPUTED_VALUE"""),"0.5-1'")</f>
        <v>0.5-1'</v>
      </c>
      <c r="F51" s="62">
        <f ca="1">IFERROR(__xludf.DUMMYFUNCTION("""COMPUTED_VALUE"""),1)</f>
        <v>1</v>
      </c>
      <c r="G51" s="63">
        <f ca="1">IFERROR(__xludf.DUMMYFUNCTION("""COMPUTED_VALUE"""),45)</f>
        <v>45</v>
      </c>
    </row>
    <row r="52" spans="1:7" x14ac:dyDescent="0.2">
      <c r="A52" s="61" t="str">
        <f ca="1">IFERROR(__xludf.DUMMYFUNCTION("""COMPUTED_VALUE"""),"Elderberry")</f>
        <v>Elderberry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IFERROR(__xludf.DUMMYFUNCTION("""COMPUTED_VALUE"""),"Multi")</f>
        <v>Multi</v>
      </c>
      <c r="E52" s="61" t="str">
        <f ca="1">IFERROR(__xludf.DUMMYFUNCTION("""COMPUTED_VALUE"""),"3-7'")</f>
        <v>3-7'</v>
      </c>
      <c r="F52" s="62">
        <f ca="1">IFERROR(__xludf.DUMMYFUNCTION("""COMPUTED_VALUE"""),81)</f>
        <v>81</v>
      </c>
      <c r="G52" s="63">
        <f ca="1">IFERROR(__xludf.DUMMYFUNCTION("""COMPUTED_VALUE"""),35)</f>
        <v>35</v>
      </c>
    </row>
    <row r="53" spans="1:7" x14ac:dyDescent="0.2">
      <c r="A53" s="61" t="str">
        <f ca="1">IFERROR(__xludf.DUMMYFUNCTION("""COMPUTED_VALUE"""),"Elderberry - Pocahontas")</f>
        <v>Elderberry - Pocahontas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IFERROR(__xludf.DUMMYFUNCTION("""COMPUTED_VALUE"""),"Multi")</f>
        <v>Multi</v>
      </c>
      <c r="E53" s="61" t="str">
        <f ca="1">IFERROR(__xludf.DUMMYFUNCTION("""COMPUTED_VALUE"""),"3-4'")</f>
        <v>3-4'</v>
      </c>
      <c r="F53" s="62">
        <f ca="1">IFERROR(__xludf.DUMMYFUNCTION("""COMPUTED_VALUE"""),67)</f>
        <v>67</v>
      </c>
      <c r="G53" s="63">
        <f ca="1">IFERROR(__xludf.DUMMYFUNCTION("""COMPUTED_VALUE"""),35)</f>
        <v>35</v>
      </c>
    </row>
    <row r="54" spans="1:7" x14ac:dyDescent="0.2">
      <c r="A54" s="61" t="str">
        <f ca="1">IFERROR(__xludf.DUMMYFUNCTION("""COMPUTED_VALUE"""),"Elderberry - York")</f>
        <v>Elderberry - York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IFERROR(__xludf.DUMMYFUNCTION("""COMPUTED_VALUE"""),"Multi")</f>
        <v>Multi</v>
      </c>
      <c r="E54" s="61" t="str">
        <f ca="1">IFERROR(__xludf.DUMMYFUNCTION("""COMPUTED_VALUE"""),"3-5'")</f>
        <v>3-5'</v>
      </c>
      <c r="F54" s="62">
        <f ca="1">IFERROR(__xludf.DUMMYFUNCTION("""COMPUTED_VALUE"""),176)</f>
        <v>176</v>
      </c>
      <c r="G54" s="63">
        <f ca="1">IFERROR(__xludf.DUMMYFUNCTION("""COMPUTED_VALUE"""),35)</f>
        <v>35</v>
      </c>
    </row>
    <row r="55" spans="1:7" x14ac:dyDescent="0.2">
      <c r="A55" s="61" t="str">
        <f ca="1">IFERROR(__xludf.DUMMYFUNCTION("""COMPUTED_VALUE"""),"Fig - Black Mission")</f>
        <v>Fig - Black Mission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IFERROR(__xludf.DUMMYFUNCTION("""COMPUTED_VALUE"""),"Multi")</f>
        <v>Multi</v>
      </c>
      <c r="E55" s="61" t="str">
        <f ca="1">IFERROR(__xludf.DUMMYFUNCTION("""COMPUTED_VALUE"""),"1-2.5'")</f>
        <v>1-2.5'</v>
      </c>
      <c r="F55" s="62">
        <f ca="1">IFERROR(__xludf.DUMMYFUNCTION("""COMPUTED_VALUE"""),29)</f>
        <v>29</v>
      </c>
      <c r="G55" s="63">
        <f ca="1">IFERROR(__xludf.DUMMYFUNCTION("""COMPUTED_VALUE"""),35)</f>
        <v>35</v>
      </c>
    </row>
    <row r="56" spans="1:7" x14ac:dyDescent="0.2">
      <c r="A56" s="61" t="str">
        <f ca="1">IFERROR(__xludf.DUMMYFUNCTION("""COMPUTED_VALUE"""),"Fig - Brown Turkey")</f>
        <v>Fig - Brown Turkey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IFERROR(__xludf.DUMMYFUNCTION("""COMPUTED_VALUE"""),"Multi")</f>
        <v>Multi</v>
      </c>
      <c r="E56" s="61" t="str">
        <f ca="1">IFERROR(__xludf.DUMMYFUNCTION("""COMPUTED_VALUE"""),"1-2'")</f>
        <v>1-2'</v>
      </c>
      <c r="F56" s="62">
        <f ca="1">IFERROR(__xludf.DUMMYFUNCTION("""COMPUTED_VALUE"""),26)</f>
        <v>26</v>
      </c>
      <c r="G56" s="63">
        <f ca="1">IFERROR(__xludf.DUMMYFUNCTION("""COMPUTED_VALUE"""),35)</f>
        <v>35</v>
      </c>
    </row>
    <row r="57" spans="1:7" x14ac:dyDescent="0.2">
      <c r="A57" s="61" t="str">
        <f ca="1">IFERROR(__xludf.DUMMYFUNCTION("""COMPUTED_VALUE"""),"Fig - Celeste")</f>
        <v>Fig - Celeste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IFERROR(__xludf.DUMMYFUNCTION("""COMPUTED_VALUE"""),"Multi")</f>
        <v>Multi</v>
      </c>
      <c r="E57" s="61" t="str">
        <f ca="1">IFERROR(__xludf.DUMMYFUNCTION("""COMPUTED_VALUE"""),"1-2'")</f>
        <v>1-2'</v>
      </c>
      <c r="F57" s="62">
        <f ca="1">IFERROR(__xludf.DUMMYFUNCTION("""COMPUTED_VALUE"""),43)</f>
        <v>43</v>
      </c>
      <c r="G57" s="63">
        <f ca="1">IFERROR(__xludf.DUMMYFUNCTION("""COMPUTED_VALUE"""),35)</f>
        <v>35</v>
      </c>
    </row>
    <row r="58" spans="1:7" x14ac:dyDescent="0.2">
      <c r="A58" s="61" t="str">
        <f ca="1">IFERROR(__xludf.DUMMYFUNCTION("""COMPUTED_VALUE"""),"Fig - Chicago Hardy")</f>
        <v>Fig - Chicago Hardy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IFERROR(__xludf.DUMMYFUNCTION("""COMPUTED_VALUE"""),"2-2.5'")</f>
        <v>2-2.5'</v>
      </c>
      <c r="F58" s="62">
        <f ca="1">IFERROR(__xludf.DUMMYFUNCTION("""COMPUTED_VALUE"""),138)</f>
        <v>138</v>
      </c>
      <c r="G58" s="63">
        <f ca="1">IFERROR(__xludf.DUMMYFUNCTION("""COMPUTED_VALUE"""),35)</f>
        <v>35</v>
      </c>
    </row>
    <row r="59" spans="1:7" x14ac:dyDescent="0.2">
      <c r="A59" s="61" t="str">
        <f ca="1">IFERROR(__xludf.DUMMYFUNCTION("""COMPUTED_VALUE"""),"Fig - Italian Honey")</f>
        <v>Fig - Italian Honey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IFERROR(__xludf.DUMMYFUNCTION("""COMPUTED_VALUE"""),"Multi")</f>
        <v>Multi</v>
      </c>
      <c r="E59" s="61" t="str">
        <f ca="1">IFERROR(__xludf.DUMMYFUNCTION("""COMPUTED_VALUE"""),"1-2.5'")</f>
        <v>1-2.5'</v>
      </c>
      <c r="F59" s="62">
        <f ca="1">IFERROR(__xludf.DUMMYFUNCTION("""COMPUTED_VALUE"""),12)</f>
        <v>12</v>
      </c>
      <c r="G59" s="63">
        <f ca="1">IFERROR(__xludf.DUMMYFUNCTION("""COMPUTED_VALUE"""),35)</f>
        <v>35</v>
      </c>
    </row>
    <row r="60" spans="1:7" x14ac:dyDescent="0.2">
      <c r="A60" s="61" t="str">
        <f ca="1">IFERROR(__xludf.DUMMYFUNCTION("""COMPUTED_VALUE"""),"Gooseberry - Hinnomaki Red")</f>
        <v>Gooseberry - Hinnomaki Red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IFERROR(__xludf.DUMMYFUNCTION("""COMPUTED_VALUE"""),"Multi")</f>
        <v>Multi</v>
      </c>
      <c r="E60" s="61" t="str">
        <f ca="1">IFERROR(__xludf.DUMMYFUNCTION("""COMPUTED_VALUE"""),"1-1'")</f>
        <v>1-1'</v>
      </c>
      <c r="F60" s="62">
        <f ca="1">IFERROR(__xludf.DUMMYFUNCTION("""COMPUTED_VALUE"""),11)</f>
        <v>11</v>
      </c>
      <c r="G60" s="63">
        <f ca="1">IFERROR(__xludf.DUMMYFUNCTION("""COMPUTED_VALUE"""),45)</f>
        <v>45</v>
      </c>
    </row>
    <row r="61" spans="1:7" x14ac:dyDescent="0.2">
      <c r="A61" s="61" t="str">
        <f ca="1">IFERROR(__xludf.DUMMYFUNCTION("""COMPUTED_VALUE"""),"Gooseberry - Invicta Green")</f>
        <v>Gooseberry - Invicta Green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IFERROR(__xludf.DUMMYFUNCTION("""COMPUTED_VALUE"""),"Multi")</f>
        <v>Multi</v>
      </c>
      <c r="E61" s="61" t="str">
        <f ca="1">IFERROR(__xludf.DUMMYFUNCTION("""COMPUTED_VALUE"""),"1-1.5'")</f>
        <v>1-1.5'</v>
      </c>
      <c r="F61" s="62">
        <f ca="1">IFERROR(__xludf.DUMMYFUNCTION("""COMPUTED_VALUE"""),21)</f>
        <v>21</v>
      </c>
      <c r="G61" s="63">
        <f ca="1">IFERROR(__xludf.DUMMYFUNCTION("""COMPUTED_VALUE"""),45)</f>
        <v>45</v>
      </c>
    </row>
    <row r="62" spans="1:7" x14ac:dyDescent="0.2">
      <c r="A62" s="61" t="str">
        <f ca="1">IFERROR(__xludf.DUMMYFUNCTION("""COMPUTED_VALUE"""),"Grape - Concord (seeded)")</f>
        <v>Grape - Concord (seeded)</v>
      </c>
      <c r="B62" s="61">
        <f ca="1">IFERROR(__xludf.DUMMYFUNCTION("""COMPUTED_VALUE"""),7)</f>
        <v>7</v>
      </c>
      <c r="C62" s="61" t="str">
        <f ca="1">IFERROR(__xludf.DUMMYFUNCTION("""COMPUTED_VALUE"""),"#7")</f>
        <v>#7</v>
      </c>
      <c r="D62" s="61" t="str">
        <f ca="1">IFERROR(__xludf.DUMMYFUNCTION("""COMPUTED_VALUE"""),"Vine")</f>
        <v>Vine</v>
      </c>
      <c r="E62" s="61" t="str">
        <f ca="1">IFERROR(__xludf.DUMMYFUNCTION("""COMPUTED_VALUE"""),"5-6'")</f>
        <v>5-6'</v>
      </c>
      <c r="F62" s="62">
        <f ca="1">IFERROR(__xludf.DUMMYFUNCTION("""COMPUTED_VALUE"""),1)</f>
        <v>1</v>
      </c>
      <c r="G62" s="63">
        <f ca="1">IFERROR(__xludf.DUMMYFUNCTION("""COMPUTED_VALUE"""),50)</f>
        <v>50</v>
      </c>
    </row>
    <row r="63" spans="1:7" x14ac:dyDescent="0.2">
      <c r="A63" s="61" t="str">
        <f ca="1">IFERROR(__xludf.DUMMYFUNCTION("""COMPUTED_VALUE"""),"Hardy Kiwi - Prolific")</f>
        <v>Hardy Kiwi - Prolific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IFERROR(__xludf.DUMMYFUNCTION("""COMPUTED_VALUE"""),"Vine")</f>
        <v>Vine</v>
      </c>
      <c r="E63" s="61" t="str">
        <f ca="1">IFERROR(__xludf.DUMMYFUNCTION("""COMPUTED_VALUE"""),"6-7'")</f>
        <v>6-7'</v>
      </c>
      <c r="F63" s="62">
        <f ca="1">IFERROR(__xludf.DUMMYFUNCTION("""COMPUTED_VALUE"""),19)</f>
        <v>19</v>
      </c>
      <c r="G63" s="63">
        <f ca="1">IFERROR(__xludf.DUMMYFUNCTION("""COMPUTED_VALUE"""),37)</f>
        <v>37</v>
      </c>
    </row>
    <row r="64" spans="1:7" x14ac:dyDescent="0.2">
      <c r="A64" s="61" t="str">
        <f ca="1">IFERROR(__xludf.DUMMYFUNCTION("""COMPUTED_VALUE"""),"Jujube - GA 866")</f>
        <v>Jujube - GA 866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IFERROR(__xludf.DUMMYFUNCTION("""COMPUTED_VALUE"""),"0.75-1""")</f>
        <v>0.75-1"</v>
      </c>
      <c r="E64" s="61" t="str">
        <f ca="1">IFERROR(__xludf.DUMMYFUNCTION("""COMPUTED_VALUE"""),"8-10'")</f>
        <v>8-10'</v>
      </c>
      <c r="F64" s="62">
        <f ca="1">IFERROR(__xludf.DUMMYFUNCTION("""COMPUTED_VALUE"""),50)</f>
        <v>50</v>
      </c>
      <c r="G64" s="63">
        <f ca="1">IFERROR(__xludf.DUMMYFUNCTION("""COMPUTED_VALUE"""),100)</f>
        <v>100</v>
      </c>
    </row>
    <row r="65" spans="1:7" x14ac:dyDescent="0.2">
      <c r="A65" s="61" t="str">
        <f ca="1">IFERROR(__xludf.DUMMYFUNCTION("""COMPUTED_VALUE"""),"Jujube - GA 866")</f>
        <v>Jujube - GA 866</v>
      </c>
      <c r="B65" s="61">
        <f ca="1">IFERROR(__xludf.DUMMYFUNCTION("""COMPUTED_VALUE"""),7)</f>
        <v>7</v>
      </c>
      <c r="C65" s="61" t="str">
        <f ca="1">IFERROR(__xludf.DUMMYFUNCTION("""COMPUTED_VALUE"""),"#7")</f>
        <v>#7</v>
      </c>
      <c r="D65" s="61" t="str">
        <f ca="1">IFERROR(__xludf.DUMMYFUNCTION("""COMPUTED_VALUE"""),"0.75-1""")</f>
        <v>0.75-1"</v>
      </c>
      <c r="E65" s="61" t="str">
        <f ca="1">IFERROR(__xludf.DUMMYFUNCTION("""COMPUTED_VALUE"""),"7-10'")</f>
        <v>7-10'</v>
      </c>
      <c r="F65" s="62">
        <f ca="1">IFERROR(__xludf.DUMMYFUNCTION("""COMPUTED_VALUE"""),25)</f>
        <v>25</v>
      </c>
      <c r="G65" s="63">
        <f ca="1">IFERROR(__xludf.DUMMYFUNCTION("""COMPUTED_VALUE"""),100)</f>
        <v>100</v>
      </c>
    </row>
    <row r="66" spans="1:7" x14ac:dyDescent="0.2">
      <c r="A66" s="61" t="str">
        <f ca="1">IFERROR(__xludf.DUMMYFUNCTION("""COMPUTED_VALUE"""),"Jujube - Lang")</f>
        <v>Jujube - Lang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IFERROR(__xludf.DUMMYFUNCTION("""COMPUTED_VALUE"""),"0.75-1""")</f>
        <v>0.75-1"</v>
      </c>
      <c r="E66" s="61" t="str">
        <f ca="1">IFERROR(__xludf.DUMMYFUNCTION("""COMPUTED_VALUE"""),"5-7'")</f>
        <v>5-7'</v>
      </c>
      <c r="F66" s="62">
        <f ca="1">IFERROR(__xludf.DUMMYFUNCTION("""COMPUTED_VALUE"""),34)</f>
        <v>34</v>
      </c>
      <c r="G66" s="63">
        <f ca="1">IFERROR(__xludf.DUMMYFUNCTION("""COMPUTED_VALUE"""),100)</f>
        <v>100</v>
      </c>
    </row>
    <row r="67" spans="1:7" x14ac:dyDescent="0.2">
      <c r="A67" s="61" t="str">
        <f ca="1">IFERROR(__xludf.DUMMYFUNCTION("""COMPUTED_VALUE"""),"Jujube - Lang")</f>
        <v>Jujube - Lang</v>
      </c>
      <c r="B67" s="61">
        <f ca="1">IFERROR(__xludf.DUMMYFUNCTION("""COMPUTED_VALUE"""),10)</f>
        <v>10</v>
      </c>
      <c r="C67" s="61" t="str">
        <f ca="1">IFERROR(__xludf.DUMMYFUNCTION("""COMPUTED_VALUE"""),"#7")</f>
        <v>#7</v>
      </c>
      <c r="D67" s="61" t="str">
        <f ca="1">IFERROR(__xludf.DUMMYFUNCTION("""COMPUTED_VALUE"""),"0.75-1""")</f>
        <v>0.75-1"</v>
      </c>
      <c r="E67" s="61" t="str">
        <f ca="1">IFERROR(__xludf.DUMMYFUNCTION("""COMPUTED_VALUE"""),"6-8'")</f>
        <v>6-8'</v>
      </c>
      <c r="F67" s="62">
        <f ca="1">IFERROR(__xludf.DUMMYFUNCTION("""COMPUTED_VALUE"""),7)</f>
        <v>7</v>
      </c>
      <c r="G67" s="63">
        <f ca="1">IFERROR(__xludf.DUMMYFUNCTION("""COMPUTED_VALUE"""),100)</f>
        <v>100</v>
      </c>
    </row>
    <row r="68" spans="1:7" x14ac:dyDescent="0.2">
      <c r="A68" s="61" t="str">
        <f ca="1">IFERROR(__xludf.DUMMYFUNCTION("""COMPUTED_VALUE"""),"Jujube - Li")</f>
        <v>Jujube - Li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IFERROR(__xludf.DUMMYFUNCTION("""COMPUTED_VALUE"""),"0.5-1""")</f>
        <v>0.5-1"</v>
      </c>
      <c r="E68" s="61" t="str">
        <f ca="1">IFERROR(__xludf.DUMMYFUNCTION("""COMPUTED_VALUE"""),"4-9'")</f>
        <v>4-9'</v>
      </c>
      <c r="F68" s="62">
        <f ca="1">IFERROR(__xludf.DUMMYFUNCTION("""COMPUTED_VALUE"""),177)</f>
        <v>177</v>
      </c>
      <c r="G68" s="63">
        <f ca="1">IFERROR(__xludf.DUMMYFUNCTION("""COMPUTED_VALUE"""),100)</f>
        <v>100</v>
      </c>
    </row>
    <row r="69" spans="1:7" x14ac:dyDescent="0.2">
      <c r="A69" s="61" t="str">
        <f ca="1">IFERROR(__xludf.DUMMYFUNCTION("""COMPUTED_VALUE"""),"Jujube - Li")</f>
        <v>Jujube - Li</v>
      </c>
      <c r="B69" s="61">
        <f ca="1">IFERROR(__xludf.DUMMYFUNCTION("""COMPUTED_VALUE"""),7)</f>
        <v>7</v>
      </c>
      <c r="C69" s="61" t="str">
        <f ca="1">IFERROR(__xludf.DUMMYFUNCTION("""COMPUTED_VALUE"""),"#7")</f>
        <v>#7</v>
      </c>
      <c r="D69" s="61" t="str">
        <f ca="1">IFERROR(__xludf.DUMMYFUNCTION("""COMPUTED_VALUE"""),"0.75-1""")</f>
        <v>0.75-1"</v>
      </c>
      <c r="E69" s="61" t="str">
        <f ca="1">IFERROR(__xludf.DUMMYFUNCTION("""COMPUTED_VALUE"""),"6-10'")</f>
        <v>6-10'</v>
      </c>
      <c r="F69" s="62">
        <f ca="1">IFERROR(__xludf.DUMMYFUNCTION("""COMPUTED_VALUE"""),10)</f>
        <v>10</v>
      </c>
      <c r="G69" s="63">
        <f ca="1">IFERROR(__xludf.DUMMYFUNCTION("""COMPUTED_VALUE"""),100)</f>
        <v>100</v>
      </c>
    </row>
    <row r="70" spans="1:7" x14ac:dyDescent="0.2">
      <c r="A70" s="61" t="str">
        <f ca="1">IFERROR(__xludf.DUMMYFUNCTION("""COMPUTED_VALUE"""),"Jujube - Sugar Cane")</f>
        <v>Jujube - Sugar Cane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IFERROR(__xludf.DUMMYFUNCTION("""COMPUTED_VALUE"""),"0.5-1""")</f>
        <v>0.5-1"</v>
      </c>
      <c r="E70" s="61" t="str">
        <f ca="1">IFERROR(__xludf.DUMMYFUNCTION("""COMPUTED_VALUE"""),"5-10'")</f>
        <v>5-10'</v>
      </c>
      <c r="F70" s="62">
        <f ca="1">IFERROR(__xludf.DUMMYFUNCTION("""COMPUTED_VALUE"""),158)</f>
        <v>158</v>
      </c>
      <c r="G70" s="63">
        <f ca="1">IFERROR(__xludf.DUMMYFUNCTION("""COMPUTED_VALUE"""),100)</f>
        <v>100</v>
      </c>
    </row>
    <row r="71" spans="1:7" x14ac:dyDescent="0.2">
      <c r="A71" s="61" t="str">
        <f ca="1">IFERROR(__xludf.DUMMYFUNCTION("""COMPUTED_VALUE"""),"Mulberry - Red")</f>
        <v>Mulberry - Red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IFERROR(__xludf.DUMMYFUNCTION("""COMPUTED_VALUE"""),"0.5-1.5""")</f>
        <v>0.5-1.5"</v>
      </c>
      <c r="E71" s="61" t="str">
        <f ca="1">IFERROR(__xludf.DUMMYFUNCTION("""COMPUTED_VALUE"""),"4-10'")</f>
        <v>4-10'</v>
      </c>
      <c r="F71" s="62">
        <f ca="1">IFERROR(__xludf.DUMMYFUNCTION("""COMPUTED_VALUE"""),41)</f>
        <v>41</v>
      </c>
      <c r="G71" s="63">
        <f ca="1">IFERROR(__xludf.DUMMYFUNCTION("""COMPUTED_VALUE"""),50)</f>
        <v>50</v>
      </c>
    </row>
    <row r="72" spans="1:7" x14ac:dyDescent="0.2">
      <c r="A72" s="61" t="str">
        <f ca="1">IFERROR(__xludf.DUMMYFUNCTION("""COMPUTED_VALUE"""),"Mulberry - White")</f>
        <v>Mulberry - White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IFERROR(__xludf.DUMMYFUNCTION("""COMPUTED_VALUE"""),"1-1.5""")</f>
        <v>1-1.5"</v>
      </c>
      <c r="E72" s="61" t="str">
        <f ca="1">IFERROR(__xludf.DUMMYFUNCTION("""COMPUTED_VALUE"""),"6-9'")</f>
        <v>6-9'</v>
      </c>
      <c r="F72" s="62">
        <f ca="1">IFERROR(__xludf.DUMMYFUNCTION("""COMPUTED_VALUE"""),5)</f>
        <v>5</v>
      </c>
      <c r="G72" s="63">
        <f ca="1">IFERROR(__xludf.DUMMYFUNCTION("""COMPUTED_VALUE"""),50)</f>
        <v>50</v>
      </c>
    </row>
    <row r="73" spans="1:7" x14ac:dyDescent="0.2">
      <c r="A73" s="61" t="str">
        <f ca="1">IFERROR(__xludf.DUMMYFUNCTION("""COMPUTED_VALUE"""),"Nectarine - Fantasia")</f>
        <v>Nectarine - Fantasia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IFERROR(__xludf.DUMMYFUNCTION("""COMPUTED_VALUE"""),"1-1.25""")</f>
        <v>1-1.25"</v>
      </c>
      <c r="E73" s="61" t="str">
        <f ca="1">IFERROR(__xludf.DUMMYFUNCTION("""COMPUTED_VALUE"""),"6-7'")</f>
        <v>6-7'</v>
      </c>
      <c r="F73" s="62">
        <f ca="1">IFERROR(__xludf.DUMMYFUNCTION("""COMPUTED_VALUE"""),2)</f>
        <v>2</v>
      </c>
      <c r="G73" s="63">
        <f ca="1">IFERROR(__xludf.DUMMYFUNCTION("""COMPUTED_VALUE"""),55)</f>
        <v>55</v>
      </c>
    </row>
    <row r="74" spans="1:7" x14ac:dyDescent="0.2">
      <c r="A74" s="61" t="str">
        <f ca="1">IFERROR(__xludf.DUMMYFUNCTION("""COMPUTED_VALUE"""),"Nectarine - Flavortop")</f>
        <v>Nectarine - Flavortop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IFERROR(__xludf.DUMMYFUNCTION("""COMPUTED_VALUE"""),"1-1.25""")</f>
        <v>1-1.25"</v>
      </c>
      <c r="E74" s="61" t="str">
        <f ca="1">IFERROR(__xludf.DUMMYFUNCTION("""COMPUTED_VALUE"""),"6-7'")</f>
        <v>6-7'</v>
      </c>
      <c r="F74" s="62">
        <f ca="1">IFERROR(__xludf.DUMMYFUNCTION("""COMPUTED_VALUE"""),40)</f>
        <v>40</v>
      </c>
      <c r="G74" s="63">
        <f ca="1">IFERROR(__xludf.DUMMYFUNCTION("""COMPUTED_VALUE"""),55)</f>
        <v>55</v>
      </c>
    </row>
    <row r="75" spans="1:7" x14ac:dyDescent="0.2">
      <c r="A75" s="61" t="str">
        <f ca="1">IFERROR(__xludf.DUMMYFUNCTION("""COMPUTED_VALUE"""),"Nectarine - Independence")</f>
        <v>Nectarine - Independence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IFERROR(__xludf.DUMMYFUNCTION("""COMPUTED_VALUE"""),"0.75-1""")</f>
        <v>0.75-1"</v>
      </c>
      <c r="E75" s="61" t="str">
        <f ca="1">IFERROR(__xludf.DUMMYFUNCTION("""COMPUTED_VALUE"""),"5-7'")</f>
        <v>5-7'</v>
      </c>
      <c r="F75" s="62">
        <f ca="1">IFERROR(__xludf.DUMMYFUNCTION("""COMPUTED_VALUE"""),41)</f>
        <v>41</v>
      </c>
      <c r="G75" s="63">
        <f ca="1">IFERROR(__xludf.DUMMYFUNCTION("""COMPUTED_VALUE"""),55)</f>
        <v>55</v>
      </c>
    </row>
    <row r="76" spans="1:7" x14ac:dyDescent="0.2">
      <c r="A76" s="61" t="str">
        <f ca="1">IFERROR(__xludf.DUMMYFUNCTION("""COMPUTED_VALUE"""),"Nectarine - Redgold")</f>
        <v>Nectarine - Redgold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IFERROR(__xludf.DUMMYFUNCTION("""COMPUTED_VALUE"""),"0.75-1""")</f>
        <v>0.75-1"</v>
      </c>
      <c r="E76" s="61" t="str">
        <f ca="1">IFERROR(__xludf.DUMMYFUNCTION("""COMPUTED_VALUE"""),"4-5'")</f>
        <v>4-5'</v>
      </c>
      <c r="F76" s="62">
        <f ca="1">IFERROR(__xludf.DUMMYFUNCTION("""COMPUTED_VALUE"""),64)</f>
        <v>64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IFERROR(__xludf.DUMMYFUNCTION("""COMPUTED_VALUE"""),"Nectarine (White) - Arctic Glo")</f>
        <v>Nectarine (White) - Arctic Glo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IFERROR(__xludf.DUMMYFUNCTION("""COMPUTED_VALUE"""),"4-6'")</f>
        <v>4-6'</v>
      </c>
      <c r="F77" s="62">
        <f ca="1">IFERROR(__xludf.DUMMYFUNCTION("""COMPUTED_VALUE"""),56)</f>
        <v>56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IFERROR(__xludf.DUMMYFUNCTION("""COMPUTED_VALUE"""),"Nectarine (White) - Arctic Glo")</f>
        <v>Nectarine (White) - Arctic Glo</v>
      </c>
      <c r="B78" s="61">
        <f ca="1">IFERROR(__xludf.DUMMYFUNCTION("""COMPUTED_VALUE"""),7)</f>
        <v>7</v>
      </c>
      <c r="C78" s="61" t="str">
        <f ca="1">IFERROR(__xludf.DUMMYFUNCTION("""COMPUTED_VALUE"""),"#7")</f>
        <v>#7</v>
      </c>
      <c r="D78" s="61" t="str">
        <f ca="1">IFERROR(__xludf.DUMMYFUNCTION("""COMPUTED_VALUE"""),"0.75-1""")</f>
        <v>0.75-1"</v>
      </c>
      <c r="E78" s="61" t="str">
        <f ca="1">IFERROR(__xludf.DUMMYFUNCTION("""COMPUTED_VALUE"""),"5-6'")</f>
        <v>5-6'</v>
      </c>
      <c r="F78" s="62">
        <f ca="1">IFERROR(__xludf.DUMMYFUNCTION("""COMPUTED_VALUE"""),20)</f>
        <v>20</v>
      </c>
      <c r="G78" s="63">
        <f ca="1">IFERROR(__xludf.DUMMYFUNCTION("""COMPUTED_VALUE"""),80)</f>
        <v>80</v>
      </c>
    </row>
    <row r="79" spans="1:7" x14ac:dyDescent="0.2">
      <c r="A79" s="61" t="str">
        <f ca="1">IFERROR(__xludf.DUMMYFUNCTION("""COMPUTED_VALUE"""),"Nectarine (White) - Arctic Sweet")</f>
        <v>Nectarine (White) - Arctic Sweet</v>
      </c>
      <c r="B79" s="61">
        <f ca="1">IFERROR(__xludf.DUMMYFUNCTION("""COMPUTED_VALUE"""),7)</f>
        <v>7</v>
      </c>
      <c r="C79" s="61" t="str">
        <f ca="1">IFERROR(__xludf.DUMMYFUNCTION("""COMPUTED_VALUE"""),"#7")</f>
        <v>#7</v>
      </c>
      <c r="D79" s="61" t="str">
        <f ca="1">IFERROR(__xludf.DUMMYFUNCTION("""COMPUTED_VALUE"""),"1.25-1.5""")</f>
        <v>1.25-1.5"</v>
      </c>
      <c r="E79" s="61" t="str">
        <f ca="1">IFERROR(__xludf.DUMMYFUNCTION("""COMPUTED_VALUE"""),"9-10'")</f>
        <v>9-10'</v>
      </c>
      <c r="F79" s="62">
        <f ca="1">IFERROR(__xludf.DUMMYFUNCTION("""COMPUTED_VALUE"""),23)</f>
        <v>23</v>
      </c>
      <c r="G79" s="63">
        <f ca="1">IFERROR(__xludf.DUMMYFUNCTION("""COMPUTED_VALUE"""),80)</f>
        <v>80</v>
      </c>
    </row>
    <row r="80" spans="1:7" x14ac:dyDescent="0.2">
      <c r="A80" s="61" t="str">
        <f ca="1">IFERROR(__xludf.DUMMYFUNCTION("""COMPUTED_VALUE"""),"Pawpaw")</f>
        <v>Pawpaw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IFERROR(__xludf.DUMMYFUNCTION("""COMPUTED_VALUE"""),"0.25-0.5""")</f>
        <v>0.25-0.5"</v>
      </c>
      <c r="E80" s="61" t="str">
        <f ca="1">IFERROR(__xludf.DUMMYFUNCTION("""COMPUTED_VALUE"""),"1-4'")</f>
        <v>1-4'</v>
      </c>
      <c r="F80" s="62">
        <f ca="1">IFERROR(__xludf.DUMMYFUNCTION("""COMPUTED_VALUE"""),69)</f>
        <v>69</v>
      </c>
      <c r="G80" s="63">
        <f ca="1">IFERROR(__xludf.DUMMYFUNCTION("""COMPUTED_VALUE"""),50)</f>
        <v>50</v>
      </c>
    </row>
    <row r="81" spans="1:7" x14ac:dyDescent="0.2">
      <c r="A81" s="61" t="str">
        <f ca="1">IFERROR(__xludf.DUMMYFUNCTION("""COMPUTED_VALUE"""),"Pawpaw - Allegheny")</f>
        <v>Pawpaw - Allegheny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IFERROR(__xludf.DUMMYFUNCTION("""COMPUTED_VALUE"""),"0.25-0.5""")</f>
        <v>0.25-0.5"</v>
      </c>
      <c r="E81" s="61" t="str">
        <f ca="1">IFERROR(__xludf.DUMMYFUNCTION("""COMPUTED_VALUE"""),"2-4.5'")</f>
        <v>2-4.5'</v>
      </c>
      <c r="F81" s="62">
        <f ca="1">IFERROR(__xludf.DUMMYFUNCTION("""COMPUTED_VALUE"""),12)</f>
        <v>12</v>
      </c>
      <c r="G81" s="63">
        <f ca="1">IFERROR(__xludf.DUMMYFUNCTION("""COMPUTED_VALUE"""),100)</f>
        <v>100</v>
      </c>
    </row>
    <row r="82" spans="1:7" x14ac:dyDescent="0.2">
      <c r="A82" s="61" t="str">
        <f ca="1">IFERROR(__xludf.DUMMYFUNCTION("""COMPUTED_VALUE"""),"Pawpaw - NC-1")</f>
        <v>Pawpaw - NC-1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IFERROR(__xludf.DUMMYFUNCTION("""COMPUTED_VALUE"""),"0.25-0.5""")</f>
        <v>0.25-0.5"</v>
      </c>
      <c r="E82" s="61" t="str">
        <f ca="1">IFERROR(__xludf.DUMMYFUNCTION("""COMPUTED_VALUE"""),"2-3'")</f>
        <v>2-3'</v>
      </c>
      <c r="F82" s="62">
        <f ca="1">IFERROR(__xludf.DUMMYFUNCTION("""COMPUTED_VALUE"""),47)</f>
        <v>47</v>
      </c>
      <c r="G82" s="63">
        <f ca="1">IFERROR(__xludf.DUMMYFUNCTION("""COMPUTED_VALUE"""),100)</f>
        <v>100</v>
      </c>
    </row>
    <row r="83" spans="1:7" x14ac:dyDescent="0.2">
      <c r="A83" s="61" t="str">
        <f ca="1">IFERROR(__xludf.DUMMYFUNCTION("""COMPUTED_VALUE"""),"Pawpaw - Potomac")</f>
        <v>Pawpaw - Potomac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IFERROR(__xludf.DUMMYFUNCTION("""COMPUTED_VALUE"""),"0.25-0.5""")</f>
        <v>0.25-0.5"</v>
      </c>
      <c r="E83" s="61" t="str">
        <f ca="1">IFERROR(__xludf.DUMMYFUNCTION("""COMPUTED_VALUE"""),"1-4.5'")</f>
        <v>1-4.5'</v>
      </c>
      <c r="F83" s="62">
        <f ca="1">IFERROR(__xludf.DUMMYFUNCTION("""COMPUTED_VALUE"""),51)</f>
        <v>51</v>
      </c>
      <c r="G83" s="63">
        <f ca="1">IFERROR(__xludf.DUMMYFUNCTION("""COMPUTED_VALUE"""),100)</f>
        <v>100</v>
      </c>
    </row>
    <row r="84" spans="1:7" x14ac:dyDescent="0.2">
      <c r="A84" s="61" t="str">
        <f ca="1">IFERROR(__xludf.DUMMYFUNCTION("""COMPUTED_VALUE"""),"Pawpaw - Shenandoah")</f>
        <v>Pawpaw - Shenandoah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IFERROR(__xludf.DUMMYFUNCTION("""COMPUTED_VALUE"""),"0.25-0.5""")</f>
        <v>0.25-0.5"</v>
      </c>
      <c r="E84" s="61" t="str">
        <f ca="1">IFERROR(__xludf.DUMMYFUNCTION("""COMPUTED_VALUE"""),"2-4'")</f>
        <v>2-4'</v>
      </c>
      <c r="F84" s="62">
        <f ca="1">IFERROR(__xludf.DUMMYFUNCTION("""COMPUTED_VALUE"""),7)</f>
        <v>7</v>
      </c>
      <c r="G84" s="63">
        <f ca="1">IFERROR(__xludf.DUMMYFUNCTION("""COMPUTED_VALUE"""),100)</f>
        <v>100</v>
      </c>
    </row>
    <row r="85" spans="1:7" x14ac:dyDescent="0.2">
      <c r="A85" s="61" t="str">
        <f ca="1">IFERROR(__xludf.DUMMYFUNCTION("""COMPUTED_VALUE"""),"Pawpaw - Wabash")</f>
        <v>Pawpaw - Wabash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IFERROR(__xludf.DUMMYFUNCTION("""COMPUTED_VALUE"""),"0.25-0.25""")</f>
        <v>0.25-0.25"</v>
      </c>
      <c r="E85" s="61" t="str">
        <f ca="1">IFERROR(__xludf.DUMMYFUNCTION("""COMPUTED_VALUE"""),"1-3'")</f>
        <v>1-3'</v>
      </c>
      <c r="F85" s="62">
        <f ca="1">IFERROR(__xludf.DUMMYFUNCTION("""COMPUTED_VALUE"""),22)</f>
        <v>22</v>
      </c>
      <c r="G85" s="63">
        <f ca="1">IFERROR(__xludf.DUMMYFUNCTION("""COMPUTED_VALUE"""),100)</f>
        <v>100</v>
      </c>
    </row>
    <row r="86" spans="1:7" x14ac:dyDescent="0.2">
      <c r="A86" s="61" t="str">
        <f ca="1">IFERROR(__xludf.DUMMYFUNCTION("""COMPUTED_VALUE"""),"Peach - Contender")</f>
        <v>Peach - Contender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IFERROR(__xludf.DUMMYFUNCTION("""COMPUTED_VALUE"""),"0.75-1""")</f>
        <v>0.75-1"</v>
      </c>
      <c r="E86" s="61" t="str">
        <f ca="1">IFERROR(__xludf.DUMMYFUNCTION("""COMPUTED_VALUE"""),"4-6'")</f>
        <v>4-6'</v>
      </c>
      <c r="F86" s="62">
        <f ca="1">IFERROR(__xludf.DUMMYFUNCTION("""COMPUTED_VALUE"""),15)</f>
        <v>15</v>
      </c>
      <c r="G86" s="63">
        <f ca="1">IFERROR(__xludf.DUMMYFUNCTION("""COMPUTED_VALUE"""),55)</f>
        <v>55</v>
      </c>
    </row>
    <row r="87" spans="1:7" x14ac:dyDescent="0.2">
      <c r="A87" s="61" t="str">
        <f ca="1">IFERROR(__xludf.DUMMYFUNCTION("""COMPUTED_VALUE"""),"Peach - Cresthaven")</f>
        <v>Peach - Cresthaven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IFERROR(__xludf.DUMMYFUNCTION("""COMPUTED_VALUE"""),"0.75-0.75""")</f>
        <v>0.75-0.75"</v>
      </c>
      <c r="E87" s="61" t="str">
        <f ca="1">IFERROR(__xludf.DUMMYFUNCTION("""COMPUTED_VALUE"""),"4-6'")</f>
        <v>4-6'</v>
      </c>
      <c r="F87" s="62">
        <f ca="1">IFERROR(__xludf.DUMMYFUNCTION("""COMPUTED_VALUE"""),33)</f>
        <v>33</v>
      </c>
      <c r="G87" s="63">
        <f ca="1">IFERROR(__xludf.DUMMYFUNCTION("""COMPUTED_VALUE"""),55)</f>
        <v>55</v>
      </c>
    </row>
    <row r="88" spans="1:7" x14ac:dyDescent="0.2">
      <c r="A88" s="61" t="str">
        <f ca="1">IFERROR(__xludf.DUMMYFUNCTION("""COMPUTED_VALUE"""),"Peach - Harvester")</f>
        <v>Peach - Harvester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IFERROR(__xludf.DUMMYFUNCTION("""COMPUTED_VALUE"""),"0.5-1.25""")</f>
        <v>0.5-1.25"</v>
      </c>
      <c r="E88" s="61" t="str">
        <f ca="1">IFERROR(__xludf.DUMMYFUNCTION("""COMPUTED_VALUE"""),"4-8'")</f>
        <v>4-8'</v>
      </c>
      <c r="F88" s="62">
        <f ca="1">IFERROR(__xludf.DUMMYFUNCTION("""COMPUTED_VALUE"""),67)</f>
        <v>67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IFERROR(__xludf.DUMMYFUNCTION("""COMPUTED_VALUE"""),"Peach - Redhaven")</f>
        <v>Peach - Redhaven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IFERROR(__xludf.DUMMYFUNCTION("""COMPUTED_VALUE"""),"0.75-1""")</f>
        <v>0.75-1"</v>
      </c>
      <c r="E89" s="61" t="str">
        <f ca="1">IFERROR(__xludf.DUMMYFUNCTION("""COMPUTED_VALUE"""),"4-8'")</f>
        <v>4-8'</v>
      </c>
      <c r="F89" s="62">
        <f ca="1">IFERROR(__xludf.DUMMYFUNCTION("""COMPUTED_VALUE"""),1)</f>
        <v>1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IFERROR(__xludf.DUMMYFUNCTION("""COMPUTED_VALUE"""),"Peach - Redskin")</f>
        <v>Peach - Redskin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IFERROR(__xludf.DUMMYFUNCTION("""COMPUTED_VALUE"""),"4-5'")</f>
        <v>4-5'</v>
      </c>
      <c r="F90" s="62">
        <f ca="1">IFERROR(__xludf.DUMMYFUNCTION("""COMPUTED_VALUE"""),21)</f>
        <v>21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IFERROR(__xludf.DUMMYFUNCTION("""COMPUTED_VALUE"""),"Peach - Sugar May")</f>
        <v>Peach - Sugar May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IFERROR(__xludf.DUMMYFUNCTION("""COMPUTED_VALUE"""),"0.75-1""")</f>
        <v>0.75-1"</v>
      </c>
      <c r="E91" s="61" t="str">
        <f ca="1">IFERROR(__xludf.DUMMYFUNCTION("""COMPUTED_VALUE"""),"4-5'")</f>
        <v>4-5'</v>
      </c>
      <c r="F91" s="62">
        <f ca="1">IFERROR(__xludf.DUMMYFUNCTION("""COMPUTED_VALUE"""),17)</f>
        <v>17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IFERROR(__xludf.DUMMYFUNCTION("""COMPUTED_VALUE"""),"Peach (Donut White) - Galaxy")</f>
        <v>Peach (Donut White) - Galaxy</v>
      </c>
      <c r="B92" s="61">
        <f ca="1">IFERROR(__xludf.DUMMYFUNCTION("""COMPUTED_VALUE"""),5)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IFERROR(__xludf.DUMMYFUNCTION("""COMPUTED_VALUE"""),"0.75-1""")</f>
        <v>0.75-1"</v>
      </c>
      <c r="E92" s="61" t="str">
        <f ca="1">IFERROR(__xludf.DUMMYFUNCTION("""COMPUTED_VALUE"""),"5-7'")</f>
        <v>5-7'</v>
      </c>
      <c r="F92" s="62">
        <f ca="1">IFERROR(__xludf.DUMMYFUNCTION("""COMPUTED_VALUE"""),119)</f>
        <v>119</v>
      </c>
      <c r="G92" s="63">
        <f ca="1">IFERROR(__xludf.DUMMYFUNCTION("""COMPUTED_VALUE"""),55)</f>
        <v>55</v>
      </c>
    </row>
    <row r="93" spans="1:7" x14ac:dyDescent="0.2">
      <c r="A93" s="61" t="str">
        <f ca="1">IFERROR(__xludf.DUMMYFUNCTION("""COMPUTED_VALUE"""),"Peach (Donut White) - Saturn")</f>
        <v>Peach (Donut White) - Saturn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IFERROR(__xludf.DUMMYFUNCTION("""COMPUTED_VALUE"""),"0.75-1""")</f>
        <v>0.75-1"</v>
      </c>
      <c r="E93" s="61" t="str">
        <f ca="1">IFERROR(__xludf.DUMMYFUNCTION("""COMPUTED_VALUE"""),"5-9'")</f>
        <v>5-9'</v>
      </c>
      <c r="F93" s="62">
        <f ca="1">IFERROR(__xludf.DUMMYFUNCTION("""COMPUTED_VALUE"""),114)</f>
        <v>114</v>
      </c>
      <c r="G93" s="63">
        <f ca="1">IFERROR(__xludf.DUMMYFUNCTION("""COMPUTED_VALUE"""),55)</f>
        <v>55</v>
      </c>
    </row>
    <row r="94" spans="1:7" x14ac:dyDescent="0.2">
      <c r="A94" s="61" t="str">
        <f ca="1">IFERROR(__xludf.DUMMYFUNCTION("""COMPUTED_VALUE"""),"Peach (White) - Snow Giant")</f>
        <v>Peach (White) - Snow Giant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IFERROR(__xludf.DUMMYFUNCTION("""COMPUTED_VALUE"""),"0.75-1""")</f>
        <v>0.75-1"</v>
      </c>
      <c r="E94" s="61" t="str">
        <f ca="1">IFERROR(__xludf.DUMMYFUNCTION("""COMPUTED_VALUE"""),"4-6'")</f>
        <v>4-6'</v>
      </c>
      <c r="F94" s="62">
        <f ca="1">IFERROR(__xludf.DUMMYFUNCTION("""COMPUTED_VALUE"""),72)</f>
        <v>72</v>
      </c>
      <c r="G94" s="63">
        <f ca="1">IFERROR(__xludf.DUMMYFUNCTION("""COMPUTED_VALUE"""),55)</f>
        <v>55</v>
      </c>
    </row>
    <row r="95" spans="1:7" x14ac:dyDescent="0.2">
      <c r="A95" s="61" t="str">
        <f ca="1">IFERROR(__xludf.DUMMYFUNCTION("""COMPUTED_VALUE"""),"Peach (White) - Sugar Giant")</f>
        <v>Peach (White) - Sugar Giant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IFERROR(__xludf.DUMMYFUNCTION("""COMPUTED_VALUE"""),"0.75-1""")</f>
        <v>0.75-1"</v>
      </c>
      <c r="E95" s="61" t="str">
        <f ca="1">IFERROR(__xludf.DUMMYFUNCTION("""COMPUTED_VALUE"""),"4-6'")</f>
        <v>4-6'</v>
      </c>
      <c r="F95" s="62">
        <f ca="1">IFERROR(__xludf.DUMMYFUNCTION("""COMPUTED_VALUE"""),121)</f>
        <v>121</v>
      </c>
      <c r="G95" s="63">
        <f ca="1">IFERROR(__xludf.DUMMYFUNCTION("""COMPUTED_VALUE"""),55)</f>
        <v>55</v>
      </c>
    </row>
    <row r="96" spans="1:7" x14ac:dyDescent="0.2">
      <c r="A96" s="61" t="str">
        <f ca="1">IFERROR(__xludf.DUMMYFUNCTION("""COMPUTED_VALUE"""),"Peach (White) - White Lady")</f>
        <v>Peach (White) - White Lady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IFERROR(__xludf.DUMMYFUNCTION("""COMPUTED_VALUE"""),"0.75-1.25""")</f>
        <v>0.75-1.25"</v>
      </c>
      <c r="E96" s="61" t="str">
        <f ca="1">IFERROR(__xludf.DUMMYFUNCTION("""COMPUTED_VALUE"""),"5-8'")</f>
        <v>5-8'</v>
      </c>
      <c r="F96" s="62">
        <f ca="1">IFERROR(__xludf.DUMMYFUNCTION("""COMPUTED_VALUE"""),168)</f>
        <v>168</v>
      </c>
      <c r="G96" s="63">
        <f ca="1">IFERROR(__xludf.DUMMYFUNCTION("""COMPUTED_VALUE"""),55)</f>
        <v>55</v>
      </c>
    </row>
    <row r="97" spans="1:7" x14ac:dyDescent="0.2">
      <c r="A97" s="61" t="str">
        <f ca="1">IFERROR(__xludf.DUMMYFUNCTION("""COMPUTED_VALUE"""),"Pear - 4in1 2 Tier Espalier")</f>
        <v>Pear - 4in1 2 Tier Espalier</v>
      </c>
      <c r="B97" s="61">
        <f ca="1">IFERROR(__xludf.DUMMYFUNCTION("""COMPUTED_VALUE"""),10)</f>
        <v>10</v>
      </c>
      <c r="C97" s="61" t="str">
        <f ca="1">IFERROR(__xludf.DUMMYFUNCTION("""COMPUTED_VALUE"""),"#10")</f>
        <v>#10</v>
      </c>
      <c r="D97" s="61" t="str">
        <f ca="1">IFERROR(__xludf.DUMMYFUNCTION("""COMPUTED_VALUE"""),"0.75-1""")</f>
        <v>0.75-1"</v>
      </c>
      <c r="E97" s="61" t="str">
        <f ca="1">IFERROR(__xludf.DUMMYFUNCTION("""COMPUTED_VALUE"""),"4-6'")</f>
        <v>4-6'</v>
      </c>
      <c r="F97" s="62">
        <f ca="1">IFERROR(__xludf.DUMMYFUNCTION("""COMPUTED_VALUE"""),2)</f>
        <v>2</v>
      </c>
      <c r="G97" s="63">
        <f ca="1">IFERROR(__xludf.DUMMYFUNCTION("""COMPUTED_VALUE"""),150)</f>
        <v>150</v>
      </c>
    </row>
    <row r="98" spans="1:7" x14ac:dyDescent="0.2">
      <c r="A98" s="61" t="str">
        <f ca="1">IFERROR(__xludf.DUMMYFUNCTION("""COMPUTED_VALUE"""),"Pear - Ayers")</f>
        <v>Pear - Ayers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IFERROR(__xludf.DUMMYFUNCTION("""COMPUTED_VALUE"""),"0.75-1""")</f>
        <v>0.75-1"</v>
      </c>
      <c r="E98" s="61" t="str">
        <f ca="1">IFERROR(__xludf.DUMMYFUNCTION("""COMPUTED_VALUE"""),"6-9'")</f>
        <v>6-9'</v>
      </c>
      <c r="F98" s="62">
        <f ca="1">IFERROR(__xludf.DUMMYFUNCTION("""COMPUTED_VALUE"""),41)</f>
        <v>41</v>
      </c>
      <c r="G98" s="63">
        <f ca="1">IFERROR(__xludf.DUMMYFUNCTION("""COMPUTED_VALUE"""),55)</f>
        <v>55</v>
      </c>
    </row>
    <row r="99" spans="1:7" x14ac:dyDescent="0.2">
      <c r="A99" s="61" t="str">
        <f ca="1">IFERROR(__xludf.DUMMYFUNCTION("""COMPUTED_VALUE"""),"Pear - Ayers")</f>
        <v>Pear - Ayers</v>
      </c>
      <c r="B99" s="61">
        <f ca="1">IFERROR(__xludf.DUMMYFUNCTION("""COMPUTED_VALUE"""),7)</f>
        <v>7</v>
      </c>
      <c r="C99" s="61" t="str">
        <f ca="1">IFERROR(__xludf.DUMMYFUNCTION("""COMPUTED_VALUE"""),"#7")</f>
        <v>#7</v>
      </c>
      <c r="D99" s="61" t="str">
        <f ca="1">IFERROR(__xludf.DUMMYFUNCTION("""COMPUTED_VALUE"""),"0.75-1""")</f>
        <v>0.75-1"</v>
      </c>
      <c r="E99" s="61" t="str">
        <f ca="1">IFERROR(__xludf.DUMMYFUNCTION("""COMPUTED_VALUE"""),"7-12'")</f>
        <v>7-12'</v>
      </c>
      <c r="F99" s="62">
        <f ca="1">IFERROR(__xludf.DUMMYFUNCTION("""COMPUTED_VALUE"""),11)</f>
        <v>11</v>
      </c>
      <c r="G99" s="63">
        <f ca="1">IFERROR(__xludf.DUMMYFUNCTION("""COMPUTED_VALUE"""),80)</f>
        <v>80</v>
      </c>
    </row>
    <row r="100" spans="1:7" x14ac:dyDescent="0.2">
      <c r="A100" s="61" t="str">
        <f ca="1">IFERROR(__xludf.DUMMYFUNCTION("""COMPUTED_VALUE"""),"Pear - Bartlett")</f>
        <v>Pear - Bartlett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IFERROR(__xludf.DUMMYFUNCTION("""COMPUTED_VALUE"""),"0.75-1""")</f>
        <v>0.75-1"</v>
      </c>
      <c r="E100" s="61" t="str">
        <f ca="1">IFERROR(__xludf.DUMMYFUNCTION("""COMPUTED_VALUE"""),"6-9'")</f>
        <v>6-9'</v>
      </c>
      <c r="F100" s="62">
        <f ca="1">IFERROR(__xludf.DUMMYFUNCTION("""COMPUTED_VALUE"""),40)</f>
        <v>40</v>
      </c>
      <c r="G100" s="63">
        <f ca="1">IFERROR(__xludf.DUMMYFUNCTION("""COMPUTED_VALUE"""),55)</f>
        <v>55</v>
      </c>
    </row>
    <row r="101" spans="1:7" x14ac:dyDescent="0.2">
      <c r="A101" s="61" t="str">
        <f ca="1">IFERROR(__xludf.DUMMYFUNCTION("""COMPUTED_VALUE"""),"Pear - Bartlett")</f>
        <v>Pear - Bartlett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IFERROR(__xludf.DUMMYFUNCTION("""COMPUTED_VALUE"""),"0.75-1.25""")</f>
        <v>0.75-1.25"</v>
      </c>
      <c r="E101" s="61" t="str">
        <f ca="1">IFERROR(__xludf.DUMMYFUNCTION("""COMPUTED_VALUE"""),"6-10'")</f>
        <v>6-10'</v>
      </c>
      <c r="F101" s="62">
        <f ca="1">IFERROR(__xludf.DUMMYFUNCTION("""COMPUTED_VALUE"""),168)</f>
        <v>168</v>
      </c>
      <c r="G101" s="63">
        <f ca="1">IFERROR(__xludf.DUMMYFUNCTION("""COMPUTED_VALUE"""),80)</f>
        <v>80</v>
      </c>
    </row>
    <row r="102" spans="1:7" x14ac:dyDescent="0.2">
      <c r="A102" s="61" t="str">
        <f ca="1">IFERROR(__xludf.DUMMYFUNCTION("""COMPUTED_VALUE"""),"Pear - Golden Russet Bosc")</f>
        <v>Pear - Golden Russet Bosc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IFERROR(__xludf.DUMMYFUNCTION("""COMPUTED_VALUE"""),"1-1.25""")</f>
        <v>1-1.25"</v>
      </c>
      <c r="E102" s="61" t="str">
        <f ca="1">IFERROR(__xludf.DUMMYFUNCTION("""COMPUTED_VALUE"""),"9-10'")</f>
        <v>9-10'</v>
      </c>
      <c r="F102" s="62">
        <f ca="1">IFERROR(__xludf.DUMMYFUNCTION("""COMPUTED_VALUE"""),3)</f>
        <v>3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IFERROR(__xludf.DUMMYFUNCTION("""COMPUTED_VALUE"""),"Pear - Golden Russet Bosc")</f>
        <v>Pear - Golden Russet Bosc</v>
      </c>
      <c r="B103" s="61">
        <f ca="1">IFERROR(__xludf.DUMMYFUNCTION("""COMPUTED_VALUE"""),7)</f>
        <v>7</v>
      </c>
      <c r="C103" s="61" t="str">
        <f ca="1">IFERROR(__xludf.DUMMYFUNCTION("""COMPUTED_VALUE"""),"#7")</f>
        <v>#7</v>
      </c>
      <c r="D103" s="61" t="str">
        <f ca="1">IFERROR(__xludf.DUMMYFUNCTION("""COMPUTED_VALUE"""),"0.75-1.25""")</f>
        <v>0.75-1.25"</v>
      </c>
      <c r="E103" s="61" t="str">
        <f ca="1">IFERROR(__xludf.DUMMYFUNCTION("""COMPUTED_VALUE"""),"7-11'")</f>
        <v>7-11'</v>
      </c>
      <c r="F103" s="62">
        <f ca="1">IFERROR(__xludf.DUMMYFUNCTION("""COMPUTED_VALUE"""),73)</f>
        <v>73</v>
      </c>
      <c r="G103" s="63">
        <f ca="1">IFERROR(__xludf.DUMMYFUNCTION("""COMPUTED_VALUE"""),80)</f>
        <v>80</v>
      </c>
    </row>
    <row r="104" spans="1:7" x14ac:dyDescent="0.2">
      <c r="A104" s="61" t="str">
        <f ca="1">IFERROR(__xludf.DUMMYFUNCTION("""COMPUTED_VALUE"""),"Pear - Harrowsweet")</f>
        <v>Pear - Harrowsweet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IFERROR(__xludf.DUMMYFUNCTION("""COMPUTED_VALUE"""),"1-1""")</f>
        <v>1-1"</v>
      </c>
      <c r="E104" s="61" t="str">
        <f ca="1">IFERROR(__xludf.DUMMYFUNCTION("""COMPUTED_VALUE"""),"7-10'")</f>
        <v>7-10'</v>
      </c>
      <c r="F104" s="62">
        <f ca="1">IFERROR(__xludf.DUMMYFUNCTION("""COMPUTED_VALUE"""),1)</f>
        <v>1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IFERROR(__xludf.DUMMYFUNCTION("""COMPUTED_VALUE"""),"Pear - Harrowsweet")</f>
        <v>Pear - Harrowsweet</v>
      </c>
      <c r="B105" s="61">
        <f ca="1">IFERROR(__xludf.DUMMYFUNCTION("""COMPUTED_VALUE"""),7)</f>
        <v>7</v>
      </c>
      <c r="C105" s="61" t="str">
        <f ca="1">IFERROR(__xludf.DUMMYFUNCTION("""COMPUTED_VALUE"""),"#7")</f>
        <v>#7</v>
      </c>
      <c r="D105" s="61" t="str">
        <f ca="1">IFERROR(__xludf.DUMMYFUNCTION("""COMPUTED_VALUE"""),"0.75-1""")</f>
        <v>0.75-1"</v>
      </c>
      <c r="E105" s="61" t="str">
        <f ca="1">IFERROR(__xludf.DUMMYFUNCTION("""COMPUTED_VALUE"""),"8-10'")</f>
        <v>8-10'</v>
      </c>
      <c r="F105" s="62">
        <f ca="1">IFERROR(__xludf.DUMMYFUNCTION("""COMPUTED_VALUE"""),59)</f>
        <v>59</v>
      </c>
      <c r="G105" s="63">
        <f ca="1">IFERROR(__xludf.DUMMYFUNCTION("""COMPUTED_VALUE"""),80)</f>
        <v>80</v>
      </c>
    </row>
    <row r="106" spans="1:7" x14ac:dyDescent="0.2">
      <c r="A106" s="61" t="str">
        <f ca="1">IFERROR(__xludf.DUMMYFUNCTION("""COMPUTED_VALUE"""),"Pear - Kieffer")</f>
        <v>Pear - Kieffer</v>
      </c>
      <c r="B106" s="61">
        <f ca="1">IFERROR(__xludf.DUMMYFUNCTION("""COMPUTED_VALUE"""),5)</f>
        <v>5</v>
      </c>
      <c r="C106" s="61" t="str">
        <f ca="1">IFERROR(__xludf.DUMMYFUNCTION("""COMPUTED_VALUE"""),"#5")</f>
        <v>#5</v>
      </c>
      <c r="D106" s="61" t="str">
        <f ca="1">IFERROR(__xludf.DUMMYFUNCTION("""COMPUTED_VALUE"""),"0.75-1""")</f>
        <v>0.75-1"</v>
      </c>
      <c r="E106" s="61" t="str">
        <f ca="1">IFERROR(__xludf.DUMMYFUNCTION("""COMPUTED_VALUE"""),"8-10'")</f>
        <v>8-10'</v>
      </c>
      <c r="F106" s="62">
        <f ca="1">IFERROR(__xludf.DUMMYFUNCTION("""COMPUTED_VALUE"""),25)</f>
        <v>25</v>
      </c>
      <c r="G106" s="63">
        <f ca="1">IFERROR(__xludf.DUMMYFUNCTION("""COMPUTED_VALUE"""),55)</f>
        <v>55</v>
      </c>
    </row>
    <row r="107" spans="1:7" x14ac:dyDescent="0.2">
      <c r="A107" s="61" t="str">
        <f ca="1">IFERROR(__xludf.DUMMYFUNCTION("""COMPUTED_VALUE"""),"Pear - Kieffer")</f>
        <v>Pear - Kieffer</v>
      </c>
      <c r="B107" s="61">
        <f ca="1">IFERROR(__xludf.DUMMYFUNCTION("""COMPUTED_VALUE"""),7)</f>
        <v>7</v>
      </c>
      <c r="C107" s="61" t="str">
        <f ca="1">IFERROR(__xludf.DUMMYFUNCTION("""COMPUTED_VALUE"""),"#7")</f>
        <v>#7</v>
      </c>
      <c r="D107" s="61" t="str">
        <f ca="1">IFERROR(__xludf.DUMMYFUNCTION("""COMPUTED_VALUE"""),"1-1.25""")</f>
        <v>1-1.25"</v>
      </c>
      <c r="E107" s="61" t="str">
        <f ca="1">IFERROR(__xludf.DUMMYFUNCTION("""COMPUTED_VALUE"""),"8-10'")</f>
        <v>8-10'</v>
      </c>
      <c r="F107" s="62">
        <f ca="1">IFERROR(__xludf.DUMMYFUNCTION("""COMPUTED_VALUE"""),37)</f>
        <v>37</v>
      </c>
      <c r="G107" s="63">
        <f ca="1">IFERROR(__xludf.DUMMYFUNCTION("""COMPUTED_VALUE"""),80)</f>
        <v>80</v>
      </c>
    </row>
    <row r="108" spans="1:7" x14ac:dyDescent="0.2">
      <c r="A108" s="61" t="str">
        <f ca="1">IFERROR(__xludf.DUMMYFUNCTION("""COMPUTED_VALUE"""),"Pear - Kieffer")</f>
        <v>Pear - Kieffer</v>
      </c>
      <c r="B108" s="61">
        <f ca="1">IFERROR(__xludf.DUMMYFUNCTION("""COMPUTED_VALUE"""),10)</f>
        <v>10</v>
      </c>
      <c r="C108" s="61" t="str">
        <f ca="1">IFERROR(__xludf.DUMMYFUNCTION("""COMPUTED_VALUE"""),"#10")</f>
        <v>#10</v>
      </c>
      <c r="D108" s="61" t="str">
        <f ca="1">IFERROR(__xludf.DUMMYFUNCTION("""COMPUTED_VALUE"""),"1-1.25""")</f>
        <v>1-1.25"</v>
      </c>
      <c r="E108" s="61" t="str">
        <f ca="1">IFERROR(__xludf.DUMMYFUNCTION("""COMPUTED_VALUE"""),"8-10'")</f>
        <v>8-10'</v>
      </c>
      <c r="F108" s="62">
        <f ca="1">IFERROR(__xludf.DUMMYFUNCTION("""COMPUTED_VALUE"""),11)</f>
        <v>11</v>
      </c>
      <c r="G108" s="63">
        <f ca="1">IFERROR(__xludf.DUMMYFUNCTION("""COMPUTED_VALUE"""),100)</f>
        <v>100</v>
      </c>
    </row>
    <row r="109" spans="1:7" x14ac:dyDescent="0.2">
      <c r="A109" s="61" t="str">
        <f ca="1">IFERROR(__xludf.DUMMYFUNCTION("""COMPUTED_VALUE"""),"Pear - Moonglow")</f>
        <v>Pear - Moonglow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IFERROR(__xludf.DUMMYFUNCTION("""COMPUTED_VALUE"""),"0.75-1""")</f>
        <v>0.75-1"</v>
      </c>
      <c r="E109" s="61" t="str">
        <f ca="1">IFERROR(__xludf.DUMMYFUNCTION("""COMPUTED_VALUE"""),"7-9'")</f>
        <v>7-9'</v>
      </c>
      <c r="F109" s="62">
        <f ca="1">IFERROR(__xludf.DUMMYFUNCTION("""COMPUTED_VALUE"""),75)</f>
        <v>75</v>
      </c>
      <c r="G109" s="63">
        <f ca="1">IFERROR(__xludf.DUMMYFUNCTION("""COMPUTED_VALUE"""),55)</f>
        <v>55</v>
      </c>
    </row>
    <row r="110" spans="1:7" x14ac:dyDescent="0.2">
      <c r="A110" s="61" t="str">
        <f ca="1">IFERROR(__xludf.DUMMYFUNCTION("""COMPUTED_VALUE"""),"Pear - Moonglow")</f>
        <v>Pear - Moonglow</v>
      </c>
      <c r="B110" s="61">
        <f ca="1">IFERROR(__xludf.DUMMYFUNCTION("""COMPUTED_VALUE"""),7)</f>
        <v>7</v>
      </c>
      <c r="C110" s="61" t="str">
        <f ca="1">IFERROR(__xludf.DUMMYFUNCTION("""COMPUTED_VALUE"""),"#7")</f>
        <v>#7</v>
      </c>
      <c r="D110" s="61" t="str">
        <f ca="1">IFERROR(__xludf.DUMMYFUNCTION("""COMPUTED_VALUE"""),"0.75-1.25""")</f>
        <v>0.75-1.25"</v>
      </c>
      <c r="E110" s="61" t="str">
        <f ca="1">IFERROR(__xludf.DUMMYFUNCTION("""COMPUTED_VALUE"""),"8-9'")</f>
        <v>8-9'</v>
      </c>
      <c r="F110" s="62">
        <f ca="1">IFERROR(__xludf.DUMMYFUNCTION("""COMPUTED_VALUE"""),8)</f>
        <v>8</v>
      </c>
      <c r="G110" s="63">
        <f ca="1">IFERROR(__xludf.DUMMYFUNCTION("""COMPUTED_VALUE"""),80)</f>
        <v>80</v>
      </c>
    </row>
    <row r="111" spans="1:7" x14ac:dyDescent="0.2">
      <c r="A111" s="61" t="str">
        <f ca="1">IFERROR(__xludf.DUMMYFUNCTION("""COMPUTED_VALUE"""),"Pear - Potomac")</f>
        <v>Pear - Potomac</v>
      </c>
      <c r="B111" s="61">
        <f ca="1">IFERROR(__xludf.DUMMYFUNCTION("""COMPUTED_VALUE"""),7)</f>
        <v>7</v>
      </c>
      <c r="C111" s="61" t="str">
        <f ca="1">IFERROR(__xludf.DUMMYFUNCTION("""COMPUTED_VALUE"""),"#7")</f>
        <v>#7</v>
      </c>
      <c r="D111" s="61" t="str">
        <f ca="1">IFERROR(__xludf.DUMMYFUNCTION("""COMPUTED_VALUE"""),"0.75-1""")</f>
        <v>0.75-1"</v>
      </c>
      <c r="E111" s="61" t="str">
        <f ca="1">IFERROR(__xludf.DUMMYFUNCTION("""COMPUTED_VALUE"""),"7-9'")</f>
        <v>7-9'</v>
      </c>
      <c r="F111" s="62">
        <f ca="1">IFERROR(__xludf.DUMMYFUNCTION("""COMPUTED_VALUE"""),28)</f>
        <v>28</v>
      </c>
      <c r="G111" s="63">
        <f ca="1">IFERROR(__xludf.DUMMYFUNCTION("""COMPUTED_VALUE"""),80)</f>
        <v>80</v>
      </c>
    </row>
    <row r="112" spans="1:7" x14ac:dyDescent="0.2">
      <c r="A112" s="61" t="str">
        <f ca="1">IFERROR(__xludf.DUMMYFUNCTION("""COMPUTED_VALUE"""),"Persimmon - Chocolate")</f>
        <v>Persimmon - Chocolate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IFERROR(__xludf.DUMMYFUNCTION("""COMPUTED_VALUE"""),"0.75-1""")</f>
        <v>0.75-1"</v>
      </c>
      <c r="E112" s="61" t="str">
        <f ca="1">IFERROR(__xludf.DUMMYFUNCTION("""COMPUTED_VALUE"""),"4.5-6.5'")</f>
        <v>4.5-6.5'</v>
      </c>
      <c r="F112" s="62">
        <f ca="1">IFERROR(__xludf.DUMMYFUNCTION("""COMPUTED_VALUE"""),8)</f>
        <v>8</v>
      </c>
      <c r="G112" s="63">
        <f ca="1">IFERROR(__xludf.DUMMYFUNCTION("""COMPUTED_VALUE"""),100)</f>
        <v>100</v>
      </c>
    </row>
    <row r="113" spans="1:7" x14ac:dyDescent="0.2">
      <c r="A113" s="61" t="str">
        <f ca="1">IFERROR(__xludf.DUMMYFUNCTION("""COMPUTED_VALUE"""),"Persimmon - Fuyu")</f>
        <v>Persimmon - Fuyu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IFERROR(__xludf.DUMMYFUNCTION("""COMPUTED_VALUE"""),"0.5-1""")</f>
        <v>0.5-1"</v>
      </c>
      <c r="E113" s="61" t="str">
        <f ca="1">IFERROR(__xludf.DUMMYFUNCTION("""COMPUTED_VALUE"""),"4-8'")</f>
        <v>4-8'</v>
      </c>
      <c r="F113" s="62">
        <f ca="1">IFERROR(__xludf.DUMMYFUNCTION("""COMPUTED_VALUE"""),155)</f>
        <v>155</v>
      </c>
      <c r="G113" s="63">
        <f ca="1">IFERROR(__xludf.DUMMYFUNCTION("""COMPUTED_VALUE"""),100)</f>
        <v>100</v>
      </c>
    </row>
    <row r="114" spans="1:7" x14ac:dyDescent="0.2">
      <c r="A114" s="61" t="str">
        <f ca="1">IFERROR(__xludf.DUMMYFUNCTION("""COMPUTED_VALUE"""),"Persimmon - Fuyu")</f>
        <v>Persimmon - Fuyu</v>
      </c>
      <c r="B114" s="61">
        <f ca="1">IFERROR(__xludf.DUMMYFUNCTION("""COMPUTED_VALUE"""),7)</f>
        <v>7</v>
      </c>
      <c r="C114" s="61" t="str">
        <f ca="1">IFERROR(__xludf.DUMMYFUNCTION("""COMPUTED_VALUE"""),"#7")</f>
        <v>#7</v>
      </c>
      <c r="D114" s="61" t="str">
        <f ca="1">IFERROR(__xludf.DUMMYFUNCTION("""COMPUTED_VALUE"""),"0.75-1""")</f>
        <v>0.75-1"</v>
      </c>
      <c r="E114" s="61" t="str">
        <f ca="1">IFERROR(__xludf.DUMMYFUNCTION("""COMPUTED_VALUE"""),"5-8'")</f>
        <v>5-8'</v>
      </c>
      <c r="F114" s="62">
        <f ca="1">IFERROR(__xludf.DUMMYFUNCTION("""COMPUTED_VALUE"""),3)</f>
        <v>3</v>
      </c>
      <c r="G114" s="63">
        <f ca="1">IFERROR(__xludf.DUMMYFUNCTION("""COMPUTED_VALUE"""),100)</f>
        <v>100</v>
      </c>
    </row>
    <row r="115" spans="1:7" x14ac:dyDescent="0.2">
      <c r="A115" s="61" t="str">
        <f ca="1">IFERROR(__xludf.DUMMYFUNCTION("""COMPUTED_VALUE"""),"Persimmon - Giant Fuyu")</f>
        <v>Persimmon - Giant Fuyu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IFERROR(__xludf.DUMMYFUNCTION("""COMPUTED_VALUE"""),"0.5-1""")</f>
        <v>0.5-1"</v>
      </c>
      <c r="E115" s="61" t="str">
        <f ca="1">IFERROR(__xludf.DUMMYFUNCTION("""COMPUTED_VALUE"""),"4-8'")</f>
        <v>4-8'</v>
      </c>
      <c r="F115" s="62">
        <f ca="1">IFERROR(__xludf.DUMMYFUNCTION("""COMPUTED_VALUE"""),112)</f>
        <v>112</v>
      </c>
      <c r="G115" s="63">
        <f ca="1">IFERROR(__xludf.DUMMYFUNCTION("""COMPUTED_VALUE"""),100)</f>
        <v>100</v>
      </c>
    </row>
    <row r="116" spans="1:7" x14ac:dyDescent="0.2">
      <c r="A116" s="61" t="str">
        <f ca="1">IFERROR(__xludf.DUMMYFUNCTION("""COMPUTED_VALUE"""),"Persimmon - Hachiya")</f>
        <v>Persimmon - Hachiya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IFERROR(__xludf.DUMMYFUNCTION("""COMPUTED_VALUE"""),"0.5-1""")</f>
        <v>0.5-1"</v>
      </c>
      <c r="E116" s="61" t="str">
        <f ca="1">IFERROR(__xludf.DUMMYFUNCTION("""COMPUTED_VALUE"""),"3.5-7'")</f>
        <v>3.5-7'</v>
      </c>
      <c r="F116" s="62">
        <f ca="1">IFERROR(__xludf.DUMMYFUNCTION("""COMPUTED_VALUE"""),47)</f>
        <v>47</v>
      </c>
      <c r="G116" s="63">
        <f ca="1">IFERROR(__xludf.DUMMYFUNCTION("""COMPUTED_VALUE"""),100)</f>
        <v>100</v>
      </c>
    </row>
    <row r="117" spans="1:7" x14ac:dyDescent="0.2">
      <c r="A117" s="61" t="str">
        <f ca="1">IFERROR(__xludf.DUMMYFUNCTION("""COMPUTED_VALUE"""),"Persimmon - Nikita's Gift")</f>
        <v>Persimmon - Nikita's Gift</v>
      </c>
      <c r="B117" s="61">
        <f ca="1">IFERROR(__xludf.DUMMYFUNCTION("""COMPUTED_VALUE"""),7)</f>
        <v>7</v>
      </c>
      <c r="C117" s="61" t="str">
        <f ca="1">IFERROR(__xludf.DUMMYFUNCTION("""COMPUTED_VALUE"""),"#7")</f>
        <v>#7</v>
      </c>
      <c r="D117" s="61" t="str">
        <f ca="1">IFERROR(__xludf.DUMMYFUNCTION("""COMPUTED_VALUE"""),"0.5-0.75""")</f>
        <v>0.5-0.75"</v>
      </c>
      <c r="E117" s="61" t="str">
        <f ca="1">IFERROR(__xludf.DUMMYFUNCTION("""COMPUTED_VALUE"""),"3-4'")</f>
        <v>3-4'</v>
      </c>
      <c r="F117" s="62">
        <f ca="1">IFERROR(__xludf.DUMMYFUNCTION("""COMPUTED_VALUE"""),9)</f>
        <v>9</v>
      </c>
      <c r="G117" s="63">
        <f ca="1">IFERROR(__xludf.DUMMYFUNCTION("""COMPUTED_VALUE"""),100)</f>
        <v>100</v>
      </c>
    </row>
    <row r="118" spans="1:7" x14ac:dyDescent="0.2">
      <c r="A118" s="61" t="str">
        <f ca="1">IFERROR(__xludf.DUMMYFUNCTION("""COMPUTED_VALUE"""),"Persimmon - Prok")</f>
        <v>Persimmon - Prok</v>
      </c>
      <c r="B118" s="61">
        <f ca="1">IFERROR(__xludf.DUMMYFUNCTION("""COMPUTED_VALUE"""),7)</f>
        <v>7</v>
      </c>
      <c r="C118" s="61" t="str">
        <f ca="1">IFERROR(__xludf.DUMMYFUNCTION("""COMPUTED_VALUE"""),"#7")</f>
        <v>#7</v>
      </c>
      <c r="D118" s="61" t="str">
        <f ca="1">IFERROR(__xludf.DUMMYFUNCTION("""COMPUTED_VALUE"""),"0.5-0.75""")</f>
        <v>0.5-0.75"</v>
      </c>
      <c r="E118" s="61" t="str">
        <f ca="1">IFERROR(__xludf.DUMMYFUNCTION("""COMPUTED_VALUE"""),"2-3'")</f>
        <v>2-3'</v>
      </c>
      <c r="F118" s="62">
        <f ca="1">IFERROR(__xludf.DUMMYFUNCTION("""COMPUTED_VALUE"""),4)</f>
        <v>4</v>
      </c>
      <c r="G118" s="63">
        <f ca="1">IFERROR(__xludf.DUMMYFUNCTION("""COMPUTED_VALUE"""),100)</f>
        <v>100</v>
      </c>
    </row>
    <row r="119" spans="1:7" x14ac:dyDescent="0.2">
      <c r="A119" s="61" t="str">
        <f ca="1">IFERROR(__xludf.DUMMYFUNCTION("""COMPUTED_VALUE"""),"Persimmon - Rosseyanka")</f>
        <v>Persimmon - Rosseyanka</v>
      </c>
      <c r="B119" s="61">
        <f ca="1">IFERROR(__xludf.DUMMYFUNCTION("""COMPUTED_VALUE"""),7)</f>
        <v>7</v>
      </c>
      <c r="C119" s="61" t="str">
        <f ca="1">IFERROR(__xludf.DUMMYFUNCTION("""COMPUTED_VALUE"""),"#7")</f>
        <v>#7</v>
      </c>
      <c r="D119" s="61" t="str">
        <f ca="1">IFERROR(__xludf.DUMMYFUNCTION("""COMPUTED_VALUE"""),"0.5-1""")</f>
        <v>0.5-1"</v>
      </c>
      <c r="E119" s="61" t="str">
        <f ca="1">IFERROR(__xludf.DUMMYFUNCTION("""COMPUTED_VALUE"""),"3-7'")</f>
        <v>3-7'</v>
      </c>
      <c r="F119" s="62">
        <f ca="1">IFERROR(__xludf.DUMMYFUNCTION("""COMPUTED_VALUE"""),29)</f>
        <v>29</v>
      </c>
      <c r="G119" s="63">
        <f ca="1">IFERROR(__xludf.DUMMYFUNCTION("""COMPUTED_VALUE"""),100)</f>
        <v>100</v>
      </c>
    </row>
    <row r="120" spans="1:7" x14ac:dyDescent="0.2">
      <c r="A120" s="61" t="str">
        <f ca="1">IFERROR(__xludf.DUMMYFUNCTION("""COMPUTED_VALUE"""),"Plum - Black Ice")</f>
        <v>Plum - Black Ice</v>
      </c>
      <c r="B120" s="61">
        <f ca="1">IFERROR(__xludf.DUMMYFUNCTION("""COMPUTED_VALUE"""),5)</f>
        <v>5</v>
      </c>
      <c r="C120" s="61" t="str">
        <f ca="1">IFERROR(__xludf.DUMMYFUNCTION("""COMPUTED_VALUE"""),"#5")</f>
        <v>#5</v>
      </c>
      <c r="D120" s="61" t="str">
        <f ca="1">IFERROR(__xludf.DUMMYFUNCTION("""COMPUTED_VALUE"""),"1-1.25""")</f>
        <v>1-1.25"</v>
      </c>
      <c r="E120" s="61" t="str">
        <f ca="1">IFERROR(__xludf.DUMMYFUNCTION("""COMPUTED_VALUE"""),"5-8'")</f>
        <v>5-8'</v>
      </c>
      <c r="F120" s="62">
        <f ca="1">IFERROR(__xludf.DUMMYFUNCTION("""COMPUTED_VALUE"""),18)</f>
        <v>18</v>
      </c>
      <c r="G120" s="63">
        <f ca="1">IFERROR(__xludf.DUMMYFUNCTION("""COMPUTED_VALUE"""),80)</f>
        <v>80</v>
      </c>
    </row>
    <row r="121" spans="1:7" x14ac:dyDescent="0.2">
      <c r="A121" s="61" t="str">
        <f ca="1">IFERROR(__xludf.DUMMYFUNCTION("""COMPUTED_VALUE"""),"Plum - Black Ice")</f>
        <v>Plum - Black Ice</v>
      </c>
      <c r="B121" s="61">
        <f ca="1">IFERROR(__xludf.DUMMYFUNCTION("""COMPUTED_VALUE"""),7)</f>
        <v>7</v>
      </c>
      <c r="C121" s="61" t="str">
        <f ca="1">IFERROR(__xludf.DUMMYFUNCTION("""COMPUTED_VALUE"""),"#7")</f>
        <v>#7</v>
      </c>
      <c r="D121" s="61" t="str">
        <f ca="1">IFERROR(__xludf.DUMMYFUNCTION("""COMPUTED_VALUE"""),"1-1.25""")</f>
        <v>1-1.25"</v>
      </c>
      <c r="E121" s="61" t="str">
        <f ca="1">IFERROR(__xludf.DUMMYFUNCTION("""COMPUTED_VALUE"""),"6-8'")</f>
        <v>6-8'</v>
      </c>
      <c r="F121" s="62">
        <f ca="1">IFERROR(__xludf.DUMMYFUNCTION("""COMPUTED_VALUE"""),7)</f>
        <v>7</v>
      </c>
      <c r="G121" s="63">
        <f ca="1">IFERROR(__xludf.DUMMYFUNCTION("""COMPUTED_VALUE"""),80)</f>
        <v>80</v>
      </c>
    </row>
    <row r="122" spans="1:7" x14ac:dyDescent="0.2">
      <c r="A122" s="61" t="str">
        <f ca="1">IFERROR(__xludf.DUMMYFUNCTION("""COMPUTED_VALUE"""),"Plum - Green Gage")</f>
        <v>Plum - Green Gage</v>
      </c>
      <c r="B122" s="61">
        <f ca="1">IFERROR(__xludf.DUMMYFUNCTION("""COMPUTED_VALUE"""),5)</f>
        <v>5</v>
      </c>
      <c r="C122" s="61" t="str">
        <f ca="1">IFERROR(__xludf.DUMMYFUNCTION("""COMPUTED_VALUE"""),"#5")</f>
        <v>#5</v>
      </c>
      <c r="D122" s="61" t="str">
        <f ca="1">IFERROR(__xludf.DUMMYFUNCTION("""COMPUTED_VALUE"""),"1-1.25""")</f>
        <v>1-1.25"</v>
      </c>
      <c r="E122" s="61" t="str">
        <f ca="1">IFERROR(__xludf.DUMMYFUNCTION("""COMPUTED_VALUE"""),"6-9'")</f>
        <v>6-9'</v>
      </c>
      <c r="F122" s="62">
        <f ca="1">IFERROR(__xludf.DUMMYFUNCTION("""COMPUTED_VALUE"""),1)</f>
        <v>1</v>
      </c>
      <c r="G122" s="63">
        <f ca="1">IFERROR(__xludf.DUMMYFUNCTION("""COMPUTED_VALUE"""),80)</f>
        <v>80</v>
      </c>
    </row>
    <row r="123" spans="1:7" x14ac:dyDescent="0.2">
      <c r="A123" s="61" t="str">
        <f ca="1">IFERROR(__xludf.DUMMYFUNCTION("""COMPUTED_VALUE"""),"Plum - Green Gage")</f>
        <v>Plum - Green Gage</v>
      </c>
      <c r="B123" s="61">
        <f ca="1">IFERROR(__xludf.DUMMYFUNCTION("""COMPUTED_VALUE"""),7)</f>
        <v>7</v>
      </c>
      <c r="C123" s="61" t="str">
        <f ca="1">IFERROR(__xludf.DUMMYFUNCTION("""COMPUTED_VALUE"""),"#7")</f>
        <v>#7</v>
      </c>
      <c r="D123" s="61" t="str">
        <f ca="1">IFERROR(__xludf.DUMMYFUNCTION("""COMPUTED_VALUE"""),"1.25-1.5""")</f>
        <v>1.25-1.5"</v>
      </c>
      <c r="E123" s="61" t="str">
        <f ca="1">IFERROR(__xludf.DUMMYFUNCTION("""COMPUTED_VALUE"""),"7-10'")</f>
        <v>7-10'</v>
      </c>
      <c r="F123" s="62">
        <f ca="1">IFERROR(__xludf.DUMMYFUNCTION("""COMPUTED_VALUE"""),22)</f>
        <v>22</v>
      </c>
      <c r="G123" s="63">
        <f ca="1">IFERROR(__xludf.DUMMYFUNCTION("""COMPUTED_VALUE"""),80)</f>
        <v>80</v>
      </c>
    </row>
    <row r="124" spans="1:7" x14ac:dyDescent="0.2">
      <c r="A124" s="61" t="str">
        <f ca="1">IFERROR(__xludf.DUMMYFUNCTION("""COMPUTED_VALUE"""),"Plum - Methley")</f>
        <v>Plum - Methley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IFERROR(__xludf.DUMMYFUNCTION("""COMPUTED_VALUE"""),"1.25-1.5""")</f>
        <v>1.25-1.5"</v>
      </c>
      <c r="E124" s="61" t="str">
        <f ca="1">IFERROR(__xludf.DUMMYFUNCTION("""COMPUTED_VALUE"""),"9-11'")</f>
        <v>9-11'</v>
      </c>
      <c r="F124" s="62">
        <f ca="1">IFERROR(__xludf.DUMMYFUNCTION("""COMPUTED_VALUE"""),131)</f>
        <v>131</v>
      </c>
      <c r="G124" s="63">
        <f ca="1">IFERROR(__xludf.DUMMYFUNCTION("""COMPUTED_VALUE"""),55)</f>
        <v>55</v>
      </c>
    </row>
    <row r="125" spans="1:7" x14ac:dyDescent="0.2">
      <c r="A125" s="61" t="str">
        <f ca="1">IFERROR(__xludf.DUMMYFUNCTION("""COMPUTED_VALUE"""),"Plum - Methley")</f>
        <v>Plum - Methley</v>
      </c>
      <c r="B125" s="61">
        <f ca="1">IFERROR(__xludf.DUMMYFUNCTION("""COMPUTED_VALUE"""),7)</f>
        <v>7</v>
      </c>
      <c r="C125" s="61" t="str">
        <f ca="1">IFERROR(__xludf.DUMMYFUNCTION("""COMPUTED_VALUE"""),"#7")</f>
        <v>#7</v>
      </c>
      <c r="D125" s="61" t="str">
        <f ca="1">IFERROR(__xludf.DUMMYFUNCTION("""COMPUTED_VALUE"""),"1.5-1.75""")</f>
        <v>1.5-1.75"</v>
      </c>
      <c r="E125" s="61" t="str">
        <f ca="1">IFERROR(__xludf.DUMMYFUNCTION("""COMPUTED_VALUE"""),"10-13'")</f>
        <v>10-13'</v>
      </c>
      <c r="F125" s="62">
        <f ca="1">IFERROR(__xludf.DUMMYFUNCTION("""COMPUTED_VALUE"""),29)</f>
        <v>29</v>
      </c>
      <c r="G125" s="63">
        <f ca="1">IFERROR(__xludf.DUMMYFUNCTION("""COMPUTED_VALUE"""),80)</f>
        <v>80</v>
      </c>
    </row>
    <row r="126" spans="1:7" x14ac:dyDescent="0.2">
      <c r="A126" s="61" t="str">
        <f ca="1">IFERROR(__xludf.DUMMYFUNCTION("""COMPUTED_VALUE"""),"Plum - NY9")</f>
        <v>Plum - NY9</v>
      </c>
      <c r="B126" s="61">
        <f ca="1">IFERROR(__xludf.DUMMYFUNCTION("""COMPUTED_VALUE"""),5)</f>
        <v>5</v>
      </c>
      <c r="C126" s="61" t="str">
        <f ca="1">IFERROR(__xludf.DUMMYFUNCTION("""COMPUTED_VALUE"""),"#5")</f>
        <v>#5</v>
      </c>
      <c r="D126" s="61" t="str">
        <f ca="1">IFERROR(__xludf.DUMMYFUNCTION("""COMPUTED_VALUE"""),"0.75-1""")</f>
        <v>0.75-1"</v>
      </c>
      <c r="E126" s="61" t="str">
        <f ca="1">IFERROR(__xludf.DUMMYFUNCTION("""COMPUTED_VALUE"""),"8-10'")</f>
        <v>8-10'</v>
      </c>
      <c r="F126" s="62">
        <f ca="1">IFERROR(__xludf.DUMMYFUNCTION("""COMPUTED_VALUE"""),36)</f>
        <v>36</v>
      </c>
      <c r="G126" s="63">
        <f ca="1">IFERROR(__xludf.DUMMYFUNCTION("""COMPUTED_VALUE"""),80)</f>
        <v>80</v>
      </c>
    </row>
    <row r="127" spans="1:7" x14ac:dyDescent="0.2">
      <c r="A127" s="61" t="str">
        <f ca="1">IFERROR(__xludf.DUMMYFUNCTION("""COMPUTED_VALUE"""),"Plum - NY9")</f>
        <v>Plum - NY9</v>
      </c>
      <c r="B127" s="61">
        <f ca="1">IFERROR(__xludf.DUMMYFUNCTION("""COMPUTED_VALUE"""),7)</f>
        <v>7</v>
      </c>
      <c r="C127" s="61" t="str">
        <f ca="1">IFERROR(__xludf.DUMMYFUNCTION("""COMPUTED_VALUE"""),"#7")</f>
        <v>#7</v>
      </c>
      <c r="D127" s="61" t="str">
        <f ca="1">IFERROR(__xludf.DUMMYFUNCTION("""COMPUTED_VALUE"""),"1-1.25""")</f>
        <v>1-1.25"</v>
      </c>
      <c r="E127" s="61" t="str">
        <f ca="1">IFERROR(__xludf.DUMMYFUNCTION("""COMPUTED_VALUE"""),"8-10'")</f>
        <v>8-10'</v>
      </c>
      <c r="F127" s="62">
        <f ca="1">IFERROR(__xludf.DUMMYFUNCTION("""COMPUTED_VALUE"""),60)</f>
        <v>60</v>
      </c>
      <c r="G127" s="63">
        <f ca="1">IFERROR(__xludf.DUMMYFUNCTION("""COMPUTED_VALUE"""),80)</f>
        <v>80</v>
      </c>
    </row>
    <row r="128" spans="1:7" x14ac:dyDescent="0.2">
      <c r="A128" s="61" t="str">
        <f ca="1">IFERROR(__xludf.DUMMYFUNCTION("""COMPUTED_VALUE"""),"Raspberry - Royalty (Purple)")</f>
        <v>Raspberry - Royalty (Purple)</v>
      </c>
      <c r="B128" s="61">
        <f ca="1">IFERROR(__xludf.DUMMYFUNCTION("""COMPUTED_VALUE"""),5)</f>
        <v>5</v>
      </c>
      <c r="C128" s="61" t="str">
        <f ca="1">IFERROR(__xludf.DUMMYFUNCTION("""COMPUTED_VALUE"""),"#5")</f>
        <v>#5</v>
      </c>
      <c r="D128" s="61" t="str">
        <f ca="1">IFERROR(__xludf.DUMMYFUNCTION("""COMPUTED_VALUE"""),"Multi")</f>
        <v>Multi</v>
      </c>
      <c r="E128" s="61" t="str">
        <f ca="1">IFERROR(__xludf.DUMMYFUNCTION("""COMPUTED_VALUE"""),"4-6.5'")</f>
        <v>4-6.5'</v>
      </c>
      <c r="F128" s="62">
        <f ca="1">IFERROR(__xludf.DUMMYFUNCTION("""COMPUTED_VALUE"""),46)</f>
        <v>46</v>
      </c>
      <c r="G128" s="63">
        <f ca="1">IFERROR(__xludf.DUMMYFUNCTION("""COMPUTED_VALUE"""),35)</f>
        <v>35</v>
      </c>
    </row>
    <row r="129" spans="1:7" x14ac:dyDescent="0.2">
      <c r="A129" s="61" t="str">
        <f ca="1">IFERROR(__xludf.DUMMYFUNCTION("""COMPUTED_VALUE"""),"Raspberry (Yellow) - Anne")</f>
        <v>Raspberry (Yellow) - Anne</v>
      </c>
      <c r="B129" s="61">
        <f ca="1">IFERROR(__xludf.DUMMYFUNCTION("""COMPUTED_VALUE"""),5)</f>
        <v>5</v>
      </c>
      <c r="C129" s="61" t="str">
        <f ca="1">IFERROR(__xludf.DUMMYFUNCTION("""COMPUTED_VALUE"""),"#5")</f>
        <v>#5</v>
      </c>
      <c r="D129" s="61" t="str">
        <f ca="1">IFERROR(__xludf.DUMMYFUNCTION("""COMPUTED_VALUE"""),"Multi")</f>
        <v>Multi</v>
      </c>
      <c r="E129" s="61" t="str">
        <f ca="1">IFERROR(__xludf.DUMMYFUNCTION("""COMPUTED_VALUE"""),"3-5'")</f>
        <v>3-5'</v>
      </c>
      <c r="F129" s="62">
        <f ca="1">IFERROR(__xludf.DUMMYFUNCTION("""COMPUTED_VALUE"""),32)</f>
        <v>32</v>
      </c>
      <c r="G129" s="63">
        <f ca="1">IFERROR(__xludf.DUMMYFUNCTION("""COMPUTED_VALUE"""),35)</f>
        <v>35</v>
      </c>
    </row>
    <row r="130" spans="1:7" x14ac:dyDescent="0.2">
      <c r="A130" s="61" t="str">
        <f ca="1">IFERROR(__xludf.DUMMYFUNCTION("""COMPUTED_VALUE"""),"Russian Pomegrante - Salavatski")</f>
        <v>Russian Pomegrante - Salavatski</v>
      </c>
      <c r="B130" s="61">
        <f ca="1">IFERROR(__xludf.DUMMYFUNCTION("""COMPUTED_VALUE"""),5)</f>
        <v>5</v>
      </c>
      <c r="C130" s="61" t="str">
        <f ca="1">IFERROR(__xludf.DUMMYFUNCTION("""COMPUTED_VALUE"""),"#5")</f>
        <v>#5</v>
      </c>
      <c r="D130" s="61" t="str">
        <f ca="1">IFERROR(__xludf.DUMMYFUNCTION("""COMPUTED_VALUE"""),"Multi")</f>
        <v>Multi</v>
      </c>
      <c r="E130" s="61" t="str">
        <f ca="1">IFERROR(__xludf.DUMMYFUNCTION("""COMPUTED_VALUE"""),"1-2'")</f>
        <v>1-2'</v>
      </c>
      <c r="F130" s="62">
        <f ca="1">IFERROR(__xludf.DUMMYFUNCTION("""COMPUTED_VALUE"""),79)</f>
        <v>79</v>
      </c>
      <c r="G130" s="63">
        <f ca="1">IFERROR(__xludf.DUMMYFUNCTION("""COMPUTED_VALUE"""),35)</f>
        <v>35</v>
      </c>
    </row>
    <row r="131" spans="1:7" x14ac:dyDescent="0.2">
      <c r="A131" s="61" t="str">
        <f ca="1">IFERROR(__xludf.DUMMYFUNCTION("""COMPUTED_VALUE"""),"Stone Fruits - Misshapen/Damaged Trees (Discounted)")</f>
        <v>Stone Fruits - Misshapen/Damaged Trees (Discounted)</v>
      </c>
      <c r="B131" s="61">
        <f ca="1">IFERROR(__xludf.DUMMYFUNCTION("""COMPUTED_VALUE"""),6)</f>
        <v>6</v>
      </c>
      <c r="C131" s="61" t="str">
        <f ca="1">IFERROR(__xludf.DUMMYFUNCTION("""COMPUTED_VALUE"""),"#5")</f>
        <v>#5</v>
      </c>
      <c r="D131" s="61" t="str">
        <f ca="1">IFERROR(__xludf.DUMMYFUNCTION("""COMPUTED_VALUE"""),"0-0""")</f>
        <v>0-0"</v>
      </c>
      <c r="E131" s="61" t="str">
        <f ca="1">IFERROR(__xludf.DUMMYFUNCTION("""COMPUTED_VALUE"""),"0-0'")</f>
        <v>0-0'</v>
      </c>
      <c r="F131" s="62">
        <f ca="1">IFERROR(__xludf.DUMMYFUNCTION("""COMPUTED_VALUE"""),213)</f>
        <v>213</v>
      </c>
      <c r="G131" s="63">
        <f ca="1">IFERROR(__xludf.DUMMYFUNCTION("""COMPUTED_VALUE"""),30)</f>
        <v>30</v>
      </c>
    </row>
    <row r="132" spans="1:7" x14ac:dyDescent="0.2">
      <c r="A132" s="61" t="str">
        <f ca="1">IFERROR(__xludf.DUMMYFUNCTION("""COMPUTED_VALUE"""),"zx - 1.5""x1.5""x6' Stakes")</f>
        <v>zx - 1.5"x1.5"x6' Stakes</v>
      </c>
      <c r="B132" s="61"/>
      <c r="C132" s="61"/>
      <c r="D132" s="61" t="str">
        <f ca="1">IFERROR(__xludf.DUMMYFUNCTION("""COMPUTED_VALUE"""),"0-0""")</f>
        <v>0-0"</v>
      </c>
      <c r="E132" s="61" t="str">
        <f ca="1">IFERROR(__xludf.DUMMYFUNCTION("""COMPUTED_VALUE"""),"0-0'")</f>
        <v>0-0'</v>
      </c>
      <c r="F132" s="62">
        <f ca="1">IFERROR(__xludf.DUMMYFUNCTION("""COMPUTED_VALUE"""),863)</f>
        <v>863</v>
      </c>
      <c r="G132" s="63">
        <f ca="1">IFERROR(__xludf.DUMMYFUNCTION("""COMPUTED_VALUE"""),3)</f>
        <v>3</v>
      </c>
    </row>
    <row r="133" spans="1:7" x14ac:dyDescent="0.2">
      <c r="A133" s="61" t="str">
        <f ca="1">IFERROR(__xludf.DUMMYFUNCTION("""COMPUTED_VALUE"""),"zx - 10' Orchard Ladder (extendable leg)")</f>
        <v>zx - 10' Orchard Ladder (extendable leg)</v>
      </c>
      <c r="B133" s="61"/>
      <c r="C133" s="61"/>
      <c r="D133" s="61" t="str">
        <f ca="1">IFERROR(__xludf.DUMMYFUNCTION("""COMPUTED_VALUE"""),"0-0""")</f>
        <v>0-0"</v>
      </c>
      <c r="E133" s="61" t="str">
        <f ca="1">IFERROR(__xludf.DUMMYFUNCTION("""COMPUTED_VALUE"""),"0-0'")</f>
        <v>0-0'</v>
      </c>
      <c r="F133" s="62">
        <f ca="1">IFERROR(__xludf.DUMMYFUNCTION("""COMPUTED_VALUE"""),14)</f>
        <v>14</v>
      </c>
      <c r="G133" s="63">
        <f ca="1">IFERROR(__xludf.DUMMYFUNCTION("""COMPUTED_VALUE"""),500)</f>
        <v>500</v>
      </c>
    </row>
    <row r="134" spans="1:7" x14ac:dyDescent="0.2">
      <c r="A134" s="61" t="str">
        <f ca="1">IFERROR(__xludf.DUMMYFUNCTION("""COMPUTED_VALUE"""),"zx - 10' Orchard Ladder (fixed)")</f>
        <v>zx - 10' Orchard Ladder (fixed)</v>
      </c>
      <c r="B134" s="61"/>
      <c r="C134" s="61"/>
      <c r="D134" s="61" t="str">
        <f ca="1">IFERROR(__xludf.DUMMYFUNCTION("""COMPUTED_VALUE"""),"0-0""")</f>
        <v>0-0"</v>
      </c>
      <c r="E134" s="61" t="str">
        <f ca="1">IFERROR(__xludf.DUMMYFUNCTION("""COMPUTED_VALUE"""),"0-0'")</f>
        <v>0-0'</v>
      </c>
      <c r="F134" s="62">
        <f ca="1">IFERROR(__xludf.DUMMYFUNCTION("""COMPUTED_VALUE"""),3)</f>
        <v>3</v>
      </c>
      <c r="G134" s="63">
        <f ca="1">IFERROR(__xludf.DUMMYFUNCTION("""COMPUTED_VALUE"""),435)</f>
        <v>435</v>
      </c>
    </row>
    <row r="135" spans="1:7" x14ac:dyDescent="0.2">
      <c r="A135" s="61" t="str">
        <f ca="1">IFERROR(__xludf.DUMMYFUNCTION("""COMPUTED_VALUE"""),"zx - 12' Orchard Ladder (extendable leg)")</f>
        <v>zx - 12' Orchard Ladder (extendable leg)</v>
      </c>
      <c r="B135" s="61"/>
      <c r="C135" s="61"/>
      <c r="D135" s="61" t="str">
        <f ca="1">IFERROR(__xludf.DUMMYFUNCTION("""COMPUTED_VALUE"""),"0-0""")</f>
        <v>0-0"</v>
      </c>
      <c r="E135" s="61" t="str">
        <f ca="1">IFERROR(__xludf.DUMMYFUNCTION("""COMPUTED_VALUE"""),"0-0'")</f>
        <v>0-0'</v>
      </c>
      <c r="F135" s="62">
        <f ca="1">IFERROR(__xludf.DUMMYFUNCTION("""COMPUTED_VALUE"""),2)</f>
        <v>2</v>
      </c>
      <c r="G135" s="63">
        <f ca="1">IFERROR(__xludf.DUMMYFUNCTION("""COMPUTED_VALUE"""),560)</f>
        <v>560</v>
      </c>
    </row>
    <row r="136" spans="1:7" x14ac:dyDescent="0.2">
      <c r="A136" s="61" t="str">
        <f ca="1">IFERROR(__xludf.DUMMYFUNCTION("""COMPUTED_VALUE"""),"zx - 14' Orchard Ladder (extendable)")</f>
        <v>zx - 14' Orchard Ladder (extendable)</v>
      </c>
      <c r="B136" s="61" t="str">
        <f ca="1">IFERROR(__xludf.DUMMYFUNCTION("""COMPUTED_VALUE"""),"")</f>
        <v/>
      </c>
      <c r="C136" s="61"/>
      <c r="D136" s="61" t="str">
        <f ca="1">IFERROR(__xludf.DUMMYFUNCTION("""COMPUTED_VALUE"""),"0-0""")</f>
        <v>0-0"</v>
      </c>
      <c r="E136" s="61" t="str">
        <f ca="1">IFERROR(__xludf.DUMMYFUNCTION("""COMPUTED_VALUE"""),"0-0'")</f>
        <v>0-0'</v>
      </c>
      <c r="F136" s="62">
        <f ca="1">IFERROR(__xludf.DUMMYFUNCTION("""COMPUTED_VALUE"""),9)</f>
        <v>9</v>
      </c>
      <c r="G136" s="63">
        <f ca="1">IFERROR(__xludf.DUMMYFUNCTION("""COMPUTED_VALUE"""),620)</f>
        <v>620</v>
      </c>
    </row>
    <row r="137" spans="1:7" x14ac:dyDescent="0.2">
      <c r="A137" s="61" t="str">
        <f ca="1">IFERROR(__xludf.DUMMYFUNCTION("""COMPUTED_VALUE"""),"zx - 16' Orchard Ladder (extendable)")</f>
        <v>zx - 16' Orchard Ladder (extendable)</v>
      </c>
      <c r="B137" s="61" t="str">
        <f ca="1">IFERROR(__xludf.DUMMYFUNCTION("""COMPUTED_VALUE"""),"")</f>
        <v/>
      </c>
      <c r="C137" s="61"/>
      <c r="D137" s="61" t="str">
        <f ca="1">IFERROR(__xludf.DUMMYFUNCTION("""COMPUTED_VALUE"""),"0-0""")</f>
        <v>0-0"</v>
      </c>
      <c r="E137" s="61" t="str">
        <f ca="1">IFERROR(__xludf.DUMMYFUNCTION("""COMPUTED_VALUE"""),"0-0'")</f>
        <v>0-0'</v>
      </c>
      <c r="F137" s="62">
        <f ca="1">IFERROR(__xludf.DUMMYFUNCTION("""COMPUTED_VALUE"""),1)</f>
        <v>1</v>
      </c>
      <c r="G137" s="63">
        <f ca="1">IFERROR(__xludf.DUMMYFUNCTION("""COMPUTED_VALUE"""),685)</f>
        <v>685</v>
      </c>
    </row>
    <row r="138" spans="1:7" x14ac:dyDescent="0.2">
      <c r="A138" s="61" t="str">
        <f ca="1">IFERROR(__xludf.DUMMYFUNCTION("""COMPUTED_VALUE"""),"zx - 16' Orchard Ladder (fixed)")</f>
        <v>zx - 16' Orchard Ladder (fixed)</v>
      </c>
      <c r="B138" s="61"/>
      <c r="C138" s="61"/>
      <c r="D138" s="61" t="str">
        <f ca="1">IFERROR(__xludf.DUMMYFUNCTION("""COMPUTED_VALUE"""),"0-0""")</f>
        <v>0-0"</v>
      </c>
      <c r="E138" s="61" t="str">
        <f ca="1">IFERROR(__xludf.DUMMYFUNCTION("""COMPUTED_VALUE"""),"0-0'")</f>
        <v>0-0'</v>
      </c>
      <c r="F138" s="62">
        <f ca="1">IFERROR(__xludf.DUMMYFUNCTION("""COMPUTED_VALUE"""),5)</f>
        <v>5</v>
      </c>
      <c r="G138" s="63">
        <f ca="1">IFERROR(__xludf.DUMMYFUNCTION("""COMPUTED_VALUE"""),600)</f>
        <v>600</v>
      </c>
    </row>
    <row r="139" spans="1:7" x14ac:dyDescent="0.2">
      <c r="A139" s="61" t="str">
        <f ca="1">IFERROR(__xludf.DUMMYFUNCTION("""COMPUTED_VALUE"""),"zx - 4' Bark Protector")</f>
        <v>zx - 4' Bark Protector</v>
      </c>
      <c r="B139" s="61"/>
      <c r="C139" s="61"/>
      <c r="D139" s="61" t="str">
        <f ca="1">IFERROR(__xludf.DUMMYFUNCTION("""COMPUTED_VALUE"""),"0-0""")</f>
        <v>0-0"</v>
      </c>
      <c r="E139" s="61" t="str">
        <f ca="1">IFERROR(__xludf.DUMMYFUNCTION("""COMPUTED_VALUE"""),"0-0'")</f>
        <v>0-0'</v>
      </c>
      <c r="F139" s="62">
        <f ca="1">IFERROR(__xludf.DUMMYFUNCTION("""COMPUTED_VALUE"""),876)</f>
        <v>876</v>
      </c>
      <c r="G139" s="63">
        <f ca="1">IFERROR(__xludf.DUMMYFUNCTION("""COMPUTED_VALUE"""),10)</f>
        <v>10</v>
      </c>
    </row>
    <row r="140" spans="1:7" x14ac:dyDescent="0.2">
      <c r="A140" s="61" t="str">
        <f ca="1">IFERROR(__xludf.DUMMYFUNCTION("""COMPUTED_VALUE"""),"zx - 6' Orchard Ladder (extendable leg)")</f>
        <v>zx - 6' Orchard Ladder (extendable leg)</v>
      </c>
      <c r="B140" s="61"/>
      <c r="C140" s="61"/>
      <c r="D140" s="61" t="str">
        <f ca="1">IFERROR(__xludf.DUMMYFUNCTION("""COMPUTED_VALUE"""),"0-0""")</f>
        <v>0-0"</v>
      </c>
      <c r="E140" s="61" t="str">
        <f ca="1">IFERROR(__xludf.DUMMYFUNCTION("""COMPUTED_VALUE"""),"0-0'")</f>
        <v>0-0'</v>
      </c>
      <c r="F140" s="62">
        <f ca="1">IFERROR(__xludf.DUMMYFUNCTION("""COMPUTED_VALUE"""),2)</f>
        <v>2</v>
      </c>
      <c r="G140" s="63">
        <f ca="1">IFERROR(__xludf.DUMMYFUNCTION("""COMPUTED_VALUE"""),400)</f>
        <v>400</v>
      </c>
    </row>
    <row r="141" spans="1:7" x14ac:dyDescent="0.2">
      <c r="A141" s="61" t="str">
        <f ca="1">IFERROR(__xludf.DUMMYFUNCTION("""COMPUTED_VALUE"""),"zx - 8' Orchard Ladder (extendable leg)")</f>
        <v>zx - 8' Orchard Ladder (extendable leg)</v>
      </c>
      <c r="B141" s="61"/>
      <c r="C141" s="61"/>
      <c r="D141" s="61" t="str">
        <f ca="1">IFERROR(__xludf.DUMMYFUNCTION("""COMPUTED_VALUE"""),"0-0""")</f>
        <v>0-0"</v>
      </c>
      <c r="E141" s="61" t="str">
        <f ca="1">IFERROR(__xludf.DUMMYFUNCTION("""COMPUTED_VALUE"""),"0-0'")</f>
        <v>0-0'</v>
      </c>
      <c r="F141" s="62">
        <f ca="1">IFERROR(__xludf.DUMMYFUNCTION("""COMPUTED_VALUE"""),5)</f>
        <v>5</v>
      </c>
      <c r="G141" s="63">
        <f ca="1">IFERROR(__xludf.DUMMYFUNCTION("""COMPUTED_VALUE"""),450)</f>
        <v>450</v>
      </c>
    </row>
    <row r="142" spans="1:7" x14ac:dyDescent="0.2">
      <c r="A142" s="61" t="str">
        <f ca="1">IFERROR(__xludf.DUMMYFUNCTION("""COMPUTED_VALUE"""),"zx - Felco #2 Pruners")</f>
        <v>zx - Felco #2 Pruners</v>
      </c>
      <c r="B142" s="61"/>
      <c r="C142" s="61"/>
      <c r="D142" s="61" t="str">
        <f ca="1">IFERROR(__xludf.DUMMYFUNCTION("""COMPUTED_VALUE"""),"0-0""")</f>
        <v>0-0"</v>
      </c>
      <c r="E142" s="61" t="str">
        <f ca="1">IFERROR(__xludf.DUMMYFUNCTION("""COMPUTED_VALUE"""),"0-0'")</f>
        <v>0-0'</v>
      </c>
      <c r="F142" s="62">
        <f ca="1">IFERROR(__xludf.DUMMYFUNCTION("""COMPUTED_VALUE"""),49)</f>
        <v>49</v>
      </c>
      <c r="G142" s="63">
        <f ca="1">IFERROR(__xludf.DUMMYFUNCTION("""COMPUTED_VALUE"""),65)</f>
        <v>65</v>
      </c>
    </row>
    <row r="143" spans="1:7" x14ac:dyDescent="0.2">
      <c r="A143" s="61" t="str">
        <f ca="1">IFERROR(__xludf.DUMMYFUNCTION("""COMPUTED_VALUE"""),"zx -Cages")</f>
        <v>zx -Cages</v>
      </c>
      <c r="B143" s="61"/>
      <c r="C143" s="61"/>
      <c r="D143" s="61" t="str">
        <f ca="1">IFERROR(__xludf.DUMMYFUNCTION("""COMPUTED_VALUE"""),"0-0""")</f>
        <v>0-0"</v>
      </c>
      <c r="E143" s="61" t="str">
        <f ca="1">IFERROR(__xludf.DUMMYFUNCTION("""COMPUTED_VALUE"""),"0-0'")</f>
        <v>0-0'</v>
      </c>
      <c r="F143" s="62">
        <f ca="1">IFERROR(__xludf.DUMMYFUNCTION("""COMPUTED_VALUE"""),981)</f>
        <v>981</v>
      </c>
      <c r="G143" s="63">
        <f ca="1">IFERROR(__xludf.DUMMYFUNCTION("""COMPUTED_VALUE"""),45)</f>
        <v>45</v>
      </c>
    </row>
    <row r="144" spans="1:7" x14ac:dyDescent="0.2">
      <c r="A144" s="61" t="str">
        <f ca="1">IFERROR(__xludf.DUMMYFUNCTION("""COMPUTED_VALUE"""),"zx -Shade Tarp")</f>
        <v>zx -Shade Tarp</v>
      </c>
      <c r="B144" s="61"/>
      <c r="C144" s="61"/>
      <c r="D144" s="61" t="str">
        <f ca="1">IFERROR(__xludf.DUMMYFUNCTION("""COMPUTED_VALUE"""),"0-0""")</f>
        <v>0-0"</v>
      </c>
      <c r="E144" s="61" t="str">
        <f ca="1">IFERROR(__xludf.DUMMYFUNCTION("""COMPUTED_VALUE"""),"0-0'")</f>
        <v>0-0'</v>
      </c>
      <c r="F144" s="62">
        <f ca="1">IFERROR(__xludf.DUMMYFUNCTION("""COMPUTED_VALUE"""),9)</f>
        <v>9</v>
      </c>
      <c r="G144" s="63">
        <f ca="1">IFERROR(__xludf.DUMMYFUNCTION("""COMPUTED_VALUE"""),30)</f>
        <v>30</v>
      </c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25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131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73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1-1"</v>
      </c>
      <c r="E13" s="42" t="str">
        <f ca="1">'Fruit Trees'!E7</f>
        <v>7-8'</v>
      </c>
      <c r="F13" s="52">
        <f ca="1">'Fruit Trees'!F7</f>
        <v>14</v>
      </c>
      <c r="G13" s="66">
        <f ca="1">'Fruit Trees'!G7*0.9</f>
        <v>49.5</v>
      </c>
      <c r="H13" s="51" t="str">
        <f t="shared" ca="1" si="0"/>
        <v>Apple - Aztec Fuji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7-11'</v>
      </c>
      <c r="F14" s="52">
        <f ca="1">'Fruit Trees'!F8</f>
        <v>74</v>
      </c>
      <c r="G14" s="66">
        <f ca="1">'Fruit Trees'!G8*0.9</f>
        <v>49.5</v>
      </c>
      <c r="H14" s="51" t="str">
        <f t="shared" ca="1" si="0"/>
        <v>Apple - Baldwin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Cortland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6-7'</v>
      </c>
      <c r="F15" s="52">
        <f ca="1">'Fruit Trees'!F9</f>
        <v>38</v>
      </c>
      <c r="G15" s="66">
        <f ca="1">'Fruit Trees'!G9*0.9</f>
        <v>49.5</v>
      </c>
      <c r="H15" s="51" t="str">
        <f t="shared" ca="1" si="0"/>
        <v>Apple - Cortland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Crimson Crisp</v>
      </c>
      <c r="C16" s="42" t="str">
        <f ca="1">'Fruit Trees'!C10</f>
        <v>#5</v>
      </c>
      <c r="D16" s="42" t="str">
        <f ca="1">'Fruit Trees'!D10</f>
        <v>0.75-1"</v>
      </c>
      <c r="E16" s="42" t="str">
        <f ca="1">'Fruit Trees'!E10</f>
        <v>7-10'</v>
      </c>
      <c r="F16" s="52">
        <f ca="1">'Fruit Trees'!F10</f>
        <v>44</v>
      </c>
      <c r="G16" s="66">
        <f ca="1">'Fruit Trees'!G10*0.9</f>
        <v>49.5</v>
      </c>
      <c r="H16" s="51" t="str">
        <f t="shared" ca="1" si="0"/>
        <v>Apple - Crimson Crisp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Crown Empire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6-8'</v>
      </c>
      <c r="F17" s="52">
        <f ca="1">'Fruit Trees'!F11</f>
        <v>15</v>
      </c>
      <c r="G17" s="66">
        <f ca="1">'Fruit Trees'!G11*0.9</f>
        <v>49.5</v>
      </c>
      <c r="H17" s="51" t="str">
        <f t="shared" ca="1" si="0"/>
        <v>Apple - Crown Empire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Enterprise</v>
      </c>
      <c r="C18" s="42" t="str">
        <f ca="1">'Fruit Trees'!C12</f>
        <v>#5</v>
      </c>
      <c r="D18" s="42" t="str">
        <f ca="1">'Fruit Trees'!D12</f>
        <v>1-1.25"</v>
      </c>
      <c r="E18" s="42" t="str">
        <f ca="1">'Fruit Trees'!E12</f>
        <v>7-10'</v>
      </c>
      <c r="F18" s="52">
        <f ca="1">'Fruit Trees'!F12</f>
        <v>392</v>
      </c>
      <c r="G18" s="66">
        <f ca="1">'Fruit Trees'!G12*0.9</f>
        <v>49.5</v>
      </c>
      <c r="H18" s="51" t="str">
        <f t="shared" ca="1" si="0"/>
        <v>Apple - Enterprise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#10</v>
      </c>
      <c r="D19" s="42" t="str">
        <f ca="1">'Fruit Trees'!D13</f>
        <v>1-1.25"</v>
      </c>
      <c r="E19" s="42" t="str">
        <f ca="1">'Fruit Trees'!E13</f>
        <v>7-10'</v>
      </c>
      <c r="F19" s="52">
        <f ca="1">'Fruit Trees'!F13</f>
        <v>13</v>
      </c>
      <c r="G19" s="66">
        <f ca="1">'Fruit Trees'!G13*0.9</f>
        <v>90</v>
      </c>
      <c r="H19" s="51" t="str">
        <f t="shared" ca="1" si="0"/>
        <v>Apple - Enterprise #10-2021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Freedom</v>
      </c>
      <c r="C20" s="42" t="str">
        <f ca="1">'Fruit Trees'!C14</f>
        <v>#5</v>
      </c>
      <c r="D20" s="42" t="str">
        <f ca="1">'Fruit Trees'!D14</f>
        <v>1-1.25"</v>
      </c>
      <c r="E20" s="42" t="str">
        <f ca="1">'Fruit Trees'!E14</f>
        <v>7-8'</v>
      </c>
      <c r="F20" s="52">
        <f ca="1">'Fruit Trees'!F14</f>
        <v>64</v>
      </c>
      <c r="G20" s="66">
        <f ca="1">'Fruit Trees'!G14*0.9</f>
        <v>49.5</v>
      </c>
      <c r="H20" s="51" t="str">
        <f t="shared" ca="1" si="0"/>
        <v>Apple - Freedom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Fuji</v>
      </c>
      <c r="C21" s="42" t="str">
        <f ca="1">'Fruit Trees'!C15</f>
        <v>#5</v>
      </c>
      <c r="D21" s="42" t="str">
        <f ca="1">'Fruit Trees'!D15</f>
        <v>0.75-1.25"</v>
      </c>
      <c r="E21" s="42" t="str">
        <f ca="1">'Fruit Trees'!E15</f>
        <v>6-10'</v>
      </c>
      <c r="F21" s="52">
        <f ca="1">'Fruit Trees'!F15</f>
        <v>49</v>
      </c>
      <c r="G21" s="66">
        <f ca="1">'Fruit Trees'!G15*0.9</f>
        <v>49.5</v>
      </c>
      <c r="H21" s="51" t="str">
        <f t="shared" ca="1" si="0"/>
        <v>Apple - Fuji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Gala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6-10'</v>
      </c>
      <c r="F22" s="52">
        <f ca="1">'Fruit Trees'!F16</f>
        <v>80</v>
      </c>
      <c r="G22" s="66">
        <f ca="1">'Fruit Trees'!G16*0.9</f>
        <v>49.5</v>
      </c>
      <c r="H22" s="51" t="str">
        <f t="shared" ca="1" si="0"/>
        <v>Apple - Gala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Galarina</v>
      </c>
      <c r="C23" s="42" t="str">
        <f ca="1">'Fruit Trees'!C17</f>
        <v>#5</v>
      </c>
      <c r="D23" s="42" t="str">
        <f ca="1">'Fruit Trees'!D17</f>
        <v>1-1.25"</v>
      </c>
      <c r="E23" s="42" t="str">
        <f ca="1">'Fruit Trees'!E17</f>
        <v>8-11'</v>
      </c>
      <c r="F23" s="52">
        <f ca="1">'Fruit Trees'!F17</f>
        <v>111</v>
      </c>
      <c r="G23" s="66">
        <f ca="1">'Fruit Trees'!G17*0.9</f>
        <v>49.5</v>
      </c>
      <c r="H23" s="51" t="str">
        <f t="shared" ca="1" si="0"/>
        <v>Apple - Galarina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Gold Rush</v>
      </c>
      <c r="C24" s="42" t="str">
        <f ca="1">'Fruit Trees'!C18</f>
        <v>#5</v>
      </c>
      <c r="D24" s="42" t="str">
        <f ca="1">'Fruit Trees'!D18</f>
        <v>0.75-1"</v>
      </c>
      <c r="E24" s="42" t="str">
        <f ca="1">'Fruit Trees'!E18</f>
        <v>7-10'</v>
      </c>
      <c r="F24" s="52">
        <f ca="1">'Fruit Trees'!F18</f>
        <v>83</v>
      </c>
      <c r="G24" s="66">
        <f ca="1">'Fruit Trees'!G18*0.9</f>
        <v>49.5</v>
      </c>
      <c r="H24" s="51" t="str">
        <f t="shared" ca="1" si="0"/>
        <v>Apple - Gold Rush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Granny Smith</v>
      </c>
      <c r="C25" s="42" t="str">
        <f ca="1">'Fruit Trees'!C19</f>
        <v>#5</v>
      </c>
      <c r="D25" s="42" t="str">
        <f ca="1">'Fruit Trees'!D19</f>
        <v>0.75-1.25"</v>
      </c>
      <c r="E25" s="42" t="str">
        <f ca="1">'Fruit Trees'!E19</f>
        <v>7-11'</v>
      </c>
      <c r="F25" s="52">
        <f ca="1">'Fruit Trees'!F19</f>
        <v>92</v>
      </c>
      <c r="G25" s="66">
        <f ca="1">'Fruit Trees'!G19*0.9</f>
        <v>49.5</v>
      </c>
      <c r="H25" s="51" t="str">
        <f t="shared" ca="1" si="0"/>
        <v>Apple - Granny Smith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Honeycrisp</v>
      </c>
      <c r="C26" s="42" t="str">
        <f ca="1">'Fruit Trees'!C20</f>
        <v>#5</v>
      </c>
      <c r="D26" s="42" t="str">
        <f ca="1">'Fruit Trees'!D20</f>
        <v>0.75-1"</v>
      </c>
      <c r="E26" s="42" t="str">
        <f ca="1">'Fruit Trees'!E20</f>
        <v>6-9'</v>
      </c>
      <c r="F26" s="52">
        <f ca="1">'Fruit Trees'!F20</f>
        <v>54</v>
      </c>
      <c r="G26" s="66">
        <f ca="1">'Fruit Trees'!G20*0.9</f>
        <v>49.5</v>
      </c>
      <c r="H26" s="51" t="str">
        <f t="shared" ca="1" si="0"/>
        <v>Apple - Honeycrisp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Honeycrisp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7-10'</v>
      </c>
      <c r="F27" s="52">
        <f ca="1">'Fruit Trees'!F21</f>
        <v>6</v>
      </c>
      <c r="G27" s="66">
        <f ca="1">'Fruit Trees'!G21*0.9</f>
        <v>90</v>
      </c>
      <c r="H27" s="51" t="str">
        <f t="shared" ca="1" si="0"/>
        <v>Apple - Honeycrisp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Initial</v>
      </c>
      <c r="C28" s="42" t="str">
        <f ca="1">'Fruit Trees'!C22</f>
        <v>#5</v>
      </c>
      <c r="D28" s="42" t="str">
        <f ca="1">'Fruit Trees'!D22</f>
        <v>1-1.25"</v>
      </c>
      <c r="E28" s="42" t="str">
        <f ca="1">'Fruit Trees'!E22</f>
        <v>6-9'</v>
      </c>
      <c r="F28" s="52">
        <f ca="1">'Fruit Trees'!F22</f>
        <v>52</v>
      </c>
      <c r="G28" s="66">
        <f ca="1">'Fruit Trees'!G22*0.9</f>
        <v>49.5</v>
      </c>
      <c r="H28" s="51" t="str">
        <f t="shared" ca="1" si="0"/>
        <v>Apple - Initial #5-2021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Liberty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7-10'</v>
      </c>
      <c r="F29" s="52">
        <f ca="1">'Fruit Trees'!F23</f>
        <v>126</v>
      </c>
      <c r="G29" s="66">
        <f ca="1">'Fruit Trees'!G23*0.9</f>
        <v>49.5</v>
      </c>
      <c r="H29" s="51" t="str">
        <f t="shared" ca="1" si="0"/>
        <v>Apple - Liberty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Liberty</v>
      </c>
      <c r="C30" s="42" t="str">
        <f ca="1">'Fruit Trees'!C24</f>
        <v>#10</v>
      </c>
      <c r="D30" s="42" t="str">
        <f ca="1">'Fruit Trees'!D24</f>
        <v>1-1.25"</v>
      </c>
      <c r="E30" s="42" t="str">
        <f ca="1">'Fruit Trees'!E24</f>
        <v>7-9'</v>
      </c>
      <c r="F30" s="52">
        <f ca="1">'Fruit Trees'!F24</f>
        <v>3</v>
      </c>
      <c r="G30" s="66">
        <f ca="1">'Fruit Trees'!G24*0.9</f>
        <v>90</v>
      </c>
      <c r="H30" s="51" t="str">
        <f t="shared" ca="1" si="0"/>
        <v>Apple - Liberty #10-2021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Macoun</v>
      </c>
      <c r="C31" s="42" t="str">
        <f ca="1">'Fruit Trees'!C25</f>
        <v>#5</v>
      </c>
      <c r="D31" s="42" t="str">
        <f ca="1">'Fruit Trees'!D25</f>
        <v>0.75-1.25"</v>
      </c>
      <c r="E31" s="42" t="str">
        <f ca="1">'Fruit Trees'!E25</f>
        <v>7-11'</v>
      </c>
      <c r="F31" s="52">
        <f ca="1">'Fruit Trees'!F25</f>
        <v>108</v>
      </c>
      <c r="G31" s="66">
        <f ca="1">'Fruit Trees'!G25*0.9</f>
        <v>49.5</v>
      </c>
      <c r="H31" s="51" t="str">
        <f t="shared" ca="1" si="0"/>
        <v>Apple - Macoun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McIntosh</v>
      </c>
      <c r="C32" s="42" t="str">
        <f ca="1">'Fruit Trees'!C26</f>
        <v>#5</v>
      </c>
      <c r="D32" s="42" t="str">
        <f ca="1">'Fruit Trees'!D26</f>
        <v>0.75-1.5"</v>
      </c>
      <c r="E32" s="42" t="str">
        <f ca="1">'Fruit Trees'!E26</f>
        <v>6-10'</v>
      </c>
      <c r="F32" s="52">
        <f ca="1">'Fruit Trees'!F26</f>
        <v>104</v>
      </c>
      <c r="G32" s="66">
        <f ca="1">'Fruit Trees'!G26*0.9</f>
        <v>49.5</v>
      </c>
      <c r="H32" s="51" t="str">
        <f t="shared" ca="1" si="0"/>
        <v>Apple - McIntosh #5-2021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McIntosh</v>
      </c>
      <c r="C33" s="42" t="str">
        <f ca="1">'Fruit Trees'!C27</f>
        <v>#10</v>
      </c>
      <c r="D33" s="42" t="str">
        <f ca="1">'Fruit Trees'!D27</f>
        <v>1-1.25"</v>
      </c>
      <c r="E33" s="42" t="str">
        <f ca="1">'Fruit Trees'!E27</f>
        <v>9-10'</v>
      </c>
      <c r="F33" s="52">
        <f ca="1">'Fruit Trees'!F27</f>
        <v>1</v>
      </c>
      <c r="G33" s="66">
        <f ca="1">'Fruit Trees'!G27*0.9</f>
        <v>90</v>
      </c>
      <c r="H33" s="51" t="str">
        <f t="shared" ca="1" si="0"/>
        <v>Apple - McIntosh #10-2021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Nova Spy</v>
      </c>
      <c r="C34" s="42" t="str">
        <f ca="1">'Fruit Trees'!C28</f>
        <v>#5</v>
      </c>
      <c r="D34" s="42" t="str">
        <f ca="1">'Fruit Trees'!D28</f>
        <v>0.75-1"</v>
      </c>
      <c r="E34" s="42" t="str">
        <f ca="1">'Fruit Trees'!E28</f>
        <v>9-10'</v>
      </c>
      <c r="F34" s="52">
        <f ca="1">'Fruit Trees'!F28</f>
        <v>141</v>
      </c>
      <c r="G34" s="66">
        <f ca="1">'Fruit Trees'!G28*0.9</f>
        <v>49.5</v>
      </c>
      <c r="H34" s="51" t="str">
        <f t="shared" ca="1" si="0"/>
        <v>Apple - Nova Spy #5-2021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Pink Lady</v>
      </c>
      <c r="C35" s="42" t="str">
        <f ca="1">'Fruit Trees'!C29</f>
        <v>#5</v>
      </c>
      <c r="D35" s="42" t="str">
        <f ca="1">'Fruit Trees'!D29</f>
        <v>0.75-1"</v>
      </c>
      <c r="E35" s="42" t="str">
        <f ca="1">'Fruit Trees'!E29</f>
        <v>5.5-6.5'</v>
      </c>
      <c r="F35" s="52">
        <f ca="1">'Fruit Trees'!F29</f>
        <v>23</v>
      </c>
      <c r="G35" s="66">
        <f ca="1">'Fruit Trees'!G29*0.9</f>
        <v>49.5</v>
      </c>
      <c r="H35" s="51" t="str">
        <f t="shared" ca="1" si="0"/>
        <v>Apple - Pink Lady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Querina</v>
      </c>
      <c r="C36" s="42" t="str">
        <f ca="1">'Fruit Trees'!C30</f>
        <v>#5</v>
      </c>
      <c r="D36" s="42" t="str">
        <f ca="1">'Fruit Trees'!D30</f>
        <v>1-1.25"</v>
      </c>
      <c r="E36" s="42" t="str">
        <f ca="1">'Fruit Trees'!E30</f>
        <v>7-11'</v>
      </c>
      <c r="F36" s="52">
        <f ca="1">'Fruit Trees'!F30</f>
        <v>183</v>
      </c>
      <c r="G36" s="66">
        <f ca="1">'Fruit Trees'!G30*0.9</f>
        <v>49.5</v>
      </c>
      <c r="H36" s="51" t="str">
        <f t="shared" ca="1" si="0"/>
        <v>Apple - Querina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Querina</v>
      </c>
      <c r="C37" s="42" t="str">
        <f ca="1">'Fruit Trees'!C31</f>
        <v>#10</v>
      </c>
      <c r="D37" s="42" t="str">
        <f ca="1">'Fruit Trees'!D31</f>
        <v>1-1.25"</v>
      </c>
      <c r="E37" s="42" t="str">
        <f ca="1">'Fruit Trees'!E31</f>
        <v>7-8'</v>
      </c>
      <c r="F37" s="52">
        <f ca="1">'Fruit Trees'!F31</f>
        <v>10</v>
      </c>
      <c r="G37" s="66">
        <f ca="1">'Fruit Trees'!G31*0.9</f>
        <v>90</v>
      </c>
      <c r="H37" s="51" t="str">
        <f t="shared" ca="1" si="0"/>
        <v>Apple - Querina #10-2021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Red Cameo</v>
      </c>
      <c r="C38" s="42" t="str">
        <f ca="1">'Fruit Trees'!C32</f>
        <v>#5</v>
      </c>
      <c r="D38" s="42" t="str">
        <f ca="1">'Fruit Trees'!D32</f>
        <v>0.75-1"</v>
      </c>
      <c r="E38" s="42" t="str">
        <f ca="1">'Fruit Trees'!E32</f>
        <v>8-9'</v>
      </c>
      <c r="F38" s="52">
        <f ca="1">'Fruit Trees'!F32</f>
        <v>27</v>
      </c>
      <c r="G38" s="66">
        <f ca="1">'Fruit Trees'!G32*0.9</f>
        <v>49.5</v>
      </c>
      <c r="H38" s="51" t="str">
        <f t="shared" ca="1" si="0"/>
        <v>Apple - Red Cameo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Red Delicious</v>
      </c>
      <c r="C39" s="42" t="str">
        <f ca="1">'Fruit Trees'!C33</f>
        <v>#5</v>
      </c>
      <c r="D39" s="42" t="str">
        <f ca="1">'Fruit Trees'!D33</f>
        <v>0.75-1.25"</v>
      </c>
      <c r="E39" s="42" t="str">
        <f ca="1">'Fruit Trees'!E33</f>
        <v>6-11'</v>
      </c>
      <c r="F39" s="52">
        <f ca="1">'Fruit Trees'!F33</f>
        <v>138</v>
      </c>
      <c r="G39" s="66">
        <f ca="1">'Fruit Trees'!G33*0.9</f>
        <v>49.5</v>
      </c>
      <c r="H39" s="51" t="str">
        <f t="shared" ca="1" si="0"/>
        <v>Apple - Red Delicious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Red Delicious</v>
      </c>
      <c r="C40" s="42" t="str">
        <f ca="1">'Fruit Trees'!C34</f>
        <v>#10</v>
      </c>
      <c r="D40" s="42" t="str">
        <f ca="1">'Fruit Trees'!D34</f>
        <v>1-1.5"</v>
      </c>
      <c r="E40" s="42" t="str">
        <f ca="1">'Fruit Trees'!E34</f>
        <v>10-11'</v>
      </c>
      <c r="F40" s="52">
        <f ca="1">'Fruit Trees'!F34</f>
        <v>7</v>
      </c>
      <c r="G40" s="66">
        <f ca="1">'Fruit Trees'!G34*0.9</f>
        <v>90</v>
      </c>
      <c r="H40" s="51" t="str">
        <f t="shared" ca="1" si="0"/>
        <v>Apple - Red Delicious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RubyRush</v>
      </c>
      <c r="C41" s="42" t="str">
        <f ca="1">'Fruit Trees'!C35</f>
        <v>#5</v>
      </c>
      <c r="D41" s="42" t="str">
        <f ca="1">'Fruit Trees'!D35</f>
        <v>0.75-1.25"</v>
      </c>
      <c r="E41" s="42" t="str">
        <f ca="1">'Fruit Trees'!E35</f>
        <v>8.5-10'</v>
      </c>
      <c r="F41" s="52">
        <f ca="1">'Fruit Trees'!F35</f>
        <v>40</v>
      </c>
      <c r="G41" s="66">
        <f ca="1">'Fruit Trees'!G35*0.9</f>
        <v>49.5</v>
      </c>
      <c r="H41" s="51" t="str">
        <f t="shared" ca="1" si="0"/>
        <v>Apple - RubyRush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Spur Winter Banana</v>
      </c>
      <c r="C42" s="42" t="str">
        <f ca="1">'Fruit Trees'!C36</f>
        <v>#5</v>
      </c>
      <c r="D42" s="42" t="str">
        <f ca="1">'Fruit Trees'!D36</f>
        <v>0.75-1.25"</v>
      </c>
      <c r="E42" s="42" t="str">
        <f ca="1">'Fruit Trees'!E36</f>
        <v>4-8'</v>
      </c>
      <c r="F42" s="52">
        <f ca="1">'Fruit Trees'!F36</f>
        <v>21</v>
      </c>
      <c r="G42" s="66">
        <f ca="1">'Fruit Trees'!G36*0.9</f>
        <v>49.5</v>
      </c>
      <c r="H42" s="51" t="str">
        <f t="shared" ca="1" si="0"/>
        <v>Apple - Spur Winter Banana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Winesap</v>
      </c>
      <c r="C43" s="42" t="str">
        <f ca="1">'Fruit Trees'!C37</f>
        <v>#5</v>
      </c>
      <c r="D43" s="42" t="str">
        <f ca="1">'Fruit Trees'!D37</f>
        <v>0.75-1.25"</v>
      </c>
      <c r="E43" s="42" t="str">
        <f ca="1">'Fruit Trees'!E37</f>
        <v>7-10'</v>
      </c>
      <c r="F43" s="52">
        <f ca="1">'Fruit Trees'!F37</f>
        <v>96</v>
      </c>
      <c r="G43" s="66">
        <f ca="1">'Fruit Trees'!G37*0.9</f>
        <v>49.5</v>
      </c>
      <c r="H43" s="51" t="str">
        <f t="shared" ca="1" si="0"/>
        <v>Apple - Winesap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Wolf River</v>
      </c>
      <c r="C44" s="42" t="str">
        <f ca="1">'Fruit Trees'!C38</f>
        <v>#10</v>
      </c>
      <c r="D44" s="42" t="str">
        <f ca="1">'Fruit Trees'!D38</f>
        <v>1-1.25"</v>
      </c>
      <c r="E44" s="42" t="str">
        <f ca="1">'Fruit Trees'!E38</f>
        <v>8-9'</v>
      </c>
      <c r="F44" s="52">
        <f ca="1">'Fruit Trees'!F38</f>
        <v>10</v>
      </c>
      <c r="G44" s="66">
        <f ca="1">'Fruit Trees'!G38*0.9</f>
        <v>90</v>
      </c>
      <c r="H44" s="51" t="str">
        <f t="shared" ca="1" si="0"/>
        <v>Apple - Wolf River #10-2021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Wolf River</v>
      </c>
      <c r="C45" s="42" t="str">
        <f ca="1">'Fruit Trees'!C39</f>
        <v>#5</v>
      </c>
      <c r="D45" s="42" t="str">
        <f ca="1">'Fruit Trees'!D39</f>
        <v>0.75-1"</v>
      </c>
      <c r="E45" s="42" t="str">
        <f ca="1">'Fruit Trees'!E39</f>
        <v>7-8.5'</v>
      </c>
      <c r="F45" s="52">
        <f ca="1">'Fruit Trees'!F39</f>
        <v>85</v>
      </c>
      <c r="G45" s="66">
        <f ca="1">'Fruit Trees'!G39*0.9</f>
        <v>49.5</v>
      </c>
      <c r="H45" s="51" t="str">
        <f t="shared" ca="1" si="0"/>
        <v>Apple - Wolf River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Apricot - OrangeRed</v>
      </c>
      <c r="C46" s="42" t="str">
        <f ca="1">'Fruit Trees'!C40</f>
        <v>#7</v>
      </c>
      <c r="D46" s="42" t="str">
        <f ca="1">'Fruit Trees'!D40</f>
        <v>1-1.25"</v>
      </c>
      <c r="E46" s="42" t="str">
        <f ca="1">'Fruit Trees'!E40</f>
        <v>7-9'</v>
      </c>
      <c r="F46" s="52">
        <f ca="1">'Fruit Trees'!F40</f>
        <v>4</v>
      </c>
      <c r="G46" s="53">
        <f ca="1">'Fruit Trees'!G40*0.9</f>
        <v>90</v>
      </c>
      <c r="H46" s="51" t="str">
        <f t="shared" ca="1" si="0"/>
        <v>Apricot - OrangeRed #7-2021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Apricot - OrangeRed</v>
      </c>
      <c r="C47" s="42" t="str">
        <f ca="1">'Fruit Trees'!C41</f>
        <v>#10</v>
      </c>
      <c r="D47" s="42" t="str">
        <f ca="1">'Fruit Trees'!D41</f>
        <v>1-1.25"</v>
      </c>
      <c r="E47" s="42" t="str">
        <f ca="1">'Fruit Trees'!E41</f>
        <v>8-10'</v>
      </c>
      <c r="F47" s="52">
        <f ca="1">'Fruit Trees'!F41</f>
        <v>9</v>
      </c>
      <c r="G47" s="53">
        <f ca="1">'Fruit Trees'!G41*0.9</f>
        <v>90</v>
      </c>
      <c r="H47" s="51" t="str">
        <f t="shared" ca="1" si="0"/>
        <v>Apricot - OrangeRed #10-2021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Asian Pear - Hosui</v>
      </c>
      <c r="C48" s="42" t="str">
        <f ca="1">'Fruit Trees'!C42</f>
        <v>#7</v>
      </c>
      <c r="D48" s="42" t="str">
        <f ca="1">'Fruit Trees'!D42</f>
        <v>0.75-1.25"</v>
      </c>
      <c r="E48" s="42" t="str">
        <f ca="1">'Fruit Trees'!E42</f>
        <v>7-10'</v>
      </c>
      <c r="F48" s="52">
        <f ca="1">'Fruit Trees'!F42</f>
        <v>53</v>
      </c>
      <c r="G48" s="53">
        <f ca="1">'Fruit Trees'!G42*0.9</f>
        <v>72</v>
      </c>
      <c r="H48" s="51" t="str">
        <f t="shared" ca="1" si="0"/>
        <v>Asian Pear - Hosui #7-2021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Asian Pear - Kosui</v>
      </c>
      <c r="C49" s="42" t="str">
        <f ca="1">'Fruit Trees'!C43</f>
        <v>#7</v>
      </c>
      <c r="D49" s="42" t="str">
        <f ca="1">'Fruit Trees'!D43</f>
        <v>1-1.5"</v>
      </c>
      <c r="E49" s="42" t="str">
        <f ca="1">'Fruit Trees'!E43</f>
        <v>8-11'</v>
      </c>
      <c r="F49" s="52">
        <f ca="1">'Fruit Trees'!F43</f>
        <v>97</v>
      </c>
      <c r="G49" s="66">
        <f ca="1">'Fruit Trees'!G43*0.9</f>
        <v>72</v>
      </c>
      <c r="H49" s="51" t="str">
        <f t="shared" ca="1" si="0"/>
        <v>Asian Pear - Kosui #7-2021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Asian Pear - Olympic</v>
      </c>
      <c r="C50" s="42" t="str">
        <f ca="1">'Fruit Trees'!C44</f>
        <v>#7</v>
      </c>
      <c r="D50" s="42" t="str">
        <f ca="1">'Fruit Trees'!D44</f>
        <v>0.75-1.5"</v>
      </c>
      <c r="E50" s="42" t="str">
        <f ca="1">'Fruit Trees'!E44</f>
        <v>6-11'</v>
      </c>
      <c r="F50" s="52">
        <f ca="1">'Fruit Trees'!F44</f>
        <v>171</v>
      </c>
      <c r="G50" s="66">
        <f ca="1">'Fruit Trees'!G44*0.9</f>
        <v>72</v>
      </c>
      <c r="H50" s="51" t="str">
        <f t="shared" ca="1" si="0"/>
        <v>Asian Pear - Olympic #7-2021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Asian Pear - Shinko</v>
      </c>
      <c r="C51" s="42" t="str">
        <f ca="1">'Fruit Trees'!C45</f>
        <v>#5</v>
      </c>
      <c r="D51" s="42" t="str">
        <f ca="1">'Fruit Trees'!D45</f>
        <v>1-1.25"</v>
      </c>
      <c r="E51" s="42" t="str">
        <f ca="1">'Fruit Trees'!E45</f>
        <v>8-10'</v>
      </c>
      <c r="F51" s="52">
        <f ca="1">'Fruit Trees'!F45</f>
        <v>1</v>
      </c>
      <c r="G51" s="66">
        <f ca="1">'Fruit Trees'!G45*0.9</f>
        <v>49.5</v>
      </c>
      <c r="H51" s="51" t="str">
        <f t="shared" ca="1" si="0"/>
        <v>Asian Pear - Shinko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Asian Pear - Shinko</v>
      </c>
      <c r="C52" s="42" t="str">
        <f ca="1">'Fruit Trees'!C46</f>
        <v>#7</v>
      </c>
      <c r="D52" s="42" t="str">
        <f ca="1">'Fruit Trees'!D46</f>
        <v>0.75-1.5"</v>
      </c>
      <c r="E52" s="42" t="str">
        <f ca="1">'Fruit Trees'!E46</f>
        <v>7-12'</v>
      </c>
      <c r="F52" s="52">
        <f ca="1">'Fruit Trees'!F46</f>
        <v>79</v>
      </c>
      <c r="G52" s="66">
        <f ca="1">'Fruit Trees'!G46*0.9</f>
        <v>72</v>
      </c>
      <c r="H52" s="51" t="str">
        <f t="shared" ca="1" si="0"/>
        <v>Asian Pear - Shinko #7-2021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Blackberry - Prime-ark 'Freedom'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3-6'</v>
      </c>
      <c r="F53" s="52">
        <f ca="1">'Fruit Trees'!F47</f>
        <v>1</v>
      </c>
      <c r="G53" s="53">
        <f ca="1">'Fruit Trees'!G47*0.9</f>
        <v>31.5</v>
      </c>
      <c r="H53" s="51" t="str">
        <f t="shared" ca="1" si="0"/>
        <v>Blackberry - Prime-ark 'Freedom'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Cherry (Sour) - Montmorency</v>
      </c>
      <c r="C54" s="42" t="str">
        <f ca="1">'Fruit Trees'!C48</f>
        <v>#5</v>
      </c>
      <c r="D54" s="42" t="str">
        <f ca="1">'Fruit Trees'!D48</f>
        <v>0.75-1.25"</v>
      </c>
      <c r="E54" s="42" t="str">
        <f ca="1">'Fruit Trees'!E48</f>
        <v>5-7'</v>
      </c>
      <c r="F54" s="52">
        <f ca="1">'Fruit Trees'!F48</f>
        <v>42</v>
      </c>
      <c r="G54" s="53">
        <f ca="1">'Fruit Trees'!G48*0.9</f>
        <v>72</v>
      </c>
      <c r="H54" s="51" t="str">
        <f t="shared" ca="1" si="0"/>
        <v>Cherry (Sour) - Montmorency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Chestnut - Chinese</v>
      </c>
      <c r="C55" s="42" t="str">
        <f ca="1">'Fruit Trees'!C49</f>
        <v>#5</v>
      </c>
      <c r="D55" s="42" t="str">
        <f ca="1">'Fruit Trees'!D49</f>
        <v>0.5-0.75"</v>
      </c>
      <c r="E55" s="42" t="str">
        <f ca="1">'Fruit Trees'!E49</f>
        <v>4-8'</v>
      </c>
      <c r="F55" s="52">
        <f ca="1">'Fruit Trees'!F49</f>
        <v>153</v>
      </c>
      <c r="G55" s="53">
        <f ca="1">'Fruit Trees'!G49*0.9</f>
        <v>49.5</v>
      </c>
      <c r="H55" s="51" t="str">
        <f t="shared" ca="1" si="0"/>
        <v>Chestnut - Chinese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Chestnut - Chinese Jenny</v>
      </c>
      <c r="C56" s="42" t="str">
        <f ca="1">'Fruit Trees'!C50</f>
        <v>#3</v>
      </c>
      <c r="D56" s="42" t="str">
        <f ca="1">'Fruit Trees'!D50</f>
        <v>0.5-0.75"</v>
      </c>
      <c r="E56" s="42" t="str">
        <f ca="1">'Fruit Trees'!E50</f>
        <v>5-6'</v>
      </c>
      <c r="F56" s="52">
        <f ca="1">'Fruit Trees'!F50</f>
        <v>1</v>
      </c>
      <c r="G56" s="53">
        <f ca="1">'Fruit Trees'!G50*0.9</f>
        <v>45</v>
      </c>
      <c r="H56" s="51" t="str">
        <f t="shared" ca="1" si="0"/>
        <v>Chestnut - Chinese Jenny #3-2021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Currant - Rovada Red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0.5-1'</v>
      </c>
      <c r="F57" s="52">
        <f ca="1">'Fruit Trees'!F51</f>
        <v>1</v>
      </c>
      <c r="G57" s="53">
        <f ca="1">'Fruit Trees'!G51*0.9</f>
        <v>40.5</v>
      </c>
      <c r="H57" s="51" t="str">
        <f t="shared" ca="1" si="0"/>
        <v>Currant - Rovada Red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Elderberry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3-7'</v>
      </c>
      <c r="F58" s="52">
        <f ca="1">'Fruit Trees'!F52</f>
        <v>81</v>
      </c>
      <c r="G58" s="53">
        <f ca="1">'Fruit Trees'!G52*0.9</f>
        <v>31.5</v>
      </c>
      <c r="H58" s="51" t="str">
        <f t="shared" ca="1" si="0"/>
        <v>Elderberry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Elderberry - Pocahontas</v>
      </c>
      <c r="C59" s="42" t="str">
        <f ca="1">'Fruit Trees'!C53</f>
        <v>#5</v>
      </c>
      <c r="D59" s="42" t="str">
        <f ca="1">'Fruit Trees'!D53</f>
        <v>Multi</v>
      </c>
      <c r="E59" s="42" t="str">
        <f ca="1">'Fruit Trees'!E53</f>
        <v>3-4'</v>
      </c>
      <c r="F59" s="52">
        <f ca="1">'Fruit Trees'!F53</f>
        <v>67</v>
      </c>
      <c r="G59" s="53">
        <f ca="1">'Fruit Trees'!G53*0.9</f>
        <v>31.5</v>
      </c>
      <c r="H59" s="51" t="str">
        <f t="shared" ca="1" si="0"/>
        <v>Elderberry - Pocahontas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Elderberry - York</v>
      </c>
      <c r="C60" s="42" t="str">
        <f ca="1">'Fruit Trees'!C54</f>
        <v>#5</v>
      </c>
      <c r="D60" s="42" t="str">
        <f ca="1">'Fruit Trees'!D54</f>
        <v>Multi</v>
      </c>
      <c r="E60" s="42" t="str">
        <f ca="1">'Fruit Trees'!E54</f>
        <v>3-5'</v>
      </c>
      <c r="F60" s="52">
        <f ca="1">'Fruit Trees'!F54</f>
        <v>176</v>
      </c>
      <c r="G60" s="53">
        <f ca="1">'Fruit Trees'!G54*0.9</f>
        <v>31.5</v>
      </c>
      <c r="H60" s="51" t="str">
        <f t="shared" ca="1" si="0"/>
        <v>Elderberry - York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Fig - Black Mission</v>
      </c>
      <c r="C61" s="42" t="str">
        <f ca="1">'Fruit Trees'!C55</f>
        <v>#5</v>
      </c>
      <c r="D61" s="42" t="str">
        <f ca="1">'Fruit Trees'!D55</f>
        <v>Multi</v>
      </c>
      <c r="E61" s="42" t="str">
        <f ca="1">'Fruit Trees'!E55</f>
        <v>1-2.5'</v>
      </c>
      <c r="F61" s="52">
        <f ca="1">'Fruit Trees'!F55</f>
        <v>29</v>
      </c>
      <c r="G61" s="66">
        <f ca="1">'Fruit Trees'!G55*0.9</f>
        <v>31.5</v>
      </c>
      <c r="H61" s="51" t="str">
        <f t="shared" ca="1" si="0"/>
        <v>Fig - Black Mission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Fig - Brown Turkey</v>
      </c>
      <c r="C62" s="42" t="str">
        <f ca="1">'Fruit Trees'!C56</f>
        <v>#5</v>
      </c>
      <c r="D62" s="42" t="str">
        <f ca="1">'Fruit Trees'!D56</f>
        <v>Multi</v>
      </c>
      <c r="E62" s="42" t="str">
        <f ca="1">'Fruit Trees'!E56</f>
        <v>1-2'</v>
      </c>
      <c r="F62" s="52">
        <f ca="1">'Fruit Trees'!F56</f>
        <v>26</v>
      </c>
      <c r="G62" s="66">
        <f ca="1">'Fruit Trees'!G56*0.9</f>
        <v>31.5</v>
      </c>
      <c r="H62" s="51" t="str">
        <f t="shared" ca="1" si="0"/>
        <v>Fig - Brown Turkey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Fig - Celeste</v>
      </c>
      <c r="C63" s="42" t="str">
        <f ca="1">'Fruit Trees'!C57</f>
        <v>#5</v>
      </c>
      <c r="D63" s="42" t="str">
        <f ca="1">'Fruit Trees'!D57</f>
        <v>Multi</v>
      </c>
      <c r="E63" s="42" t="str">
        <f ca="1">'Fruit Trees'!E57</f>
        <v>1-2'</v>
      </c>
      <c r="F63" s="52">
        <f ca="1">'Fruit Trees'!F57</f>
        <v>43</v>
      </c>
      <c r="G63" s="66">
        <f ca="1">'Fruit Trees'!G57*0.9</f>
        <v>31.5</v>
      </c>
      <c r="H63" s="51" t="str">
        <f t="shared" ca="1" si="0"/>
        <v>Fig - Celeste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Fig - Chicago Hardy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2-2.5'</v>
      </c>
      <c r="F64" s="52">
        <f ca="1">'Fruit Trees'!F58</f>
        <v>138</v>
      </c>
      <c r="G64" s="66">
        <f ca="1">'Fruit Trees'!G58*0.9</f>
        <v>31.5</v>
      </c>
      <c r="H64" s="51" t="str">
        <f t="shared" ca="1" si="0"/>
        <v>Fig - Chicago Hardy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Fig - Italian Honey</v>
      </c>
      <c r="C65" s="42" t="str">
        <f ca="1">'Fruit Trees'!C59</f>
        <v>#5</v>
      </c>
      <c r="D65" s="42" t="str">
        <f ca="1">'Fruit Trees'!D59</f>
        <v>Multi</v>
      </c>
      <c r="E65" s="42" t="str">
        <f ca="1">'Fruit Trees'!E59</f>
        <v>1-2.5'</v>
      </c>
      <c r="F65" s="52">
        <f ca="1">'Fruit Trees'!F59</f>
        <v>12</v>
      </c>
      <c r="G65" s="66">
        <f ca="1">'Fruit Trees'!G59*0.9</f>
        <v>31.5</v>
      </c>
      <c r="H65" s="51" t="str">
        <f t="shared" ca="1" si="0"/>
        <v>Fig - Italian Honey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Gooseberry - Hinnomaki Red</v>
      </c>
      <c r="C66" s="42" t="str">
        <f ca="1">'Fruit Trees'!C60</f>
        <v>#5</v>
      </c>
      <c r="D66" s="42" t="str">
        <f ca="1">'Fruit Trees'!D60</f>
        <v>Multi</v>
      </c>
      <c r="E66" s="42" t="str">
        <f ca="1">'Fruit Trees'!E60</f>
        <v>1-1'</v>
      </c>
      <c r="F66" s="52">
        <f ca="1">'Fruit Trees'!F60</f>
        <v>11</v>
      </c>
      <c r="G66" s="66">
        <f ca="1">'Fruit Trees'!G60*0.9</f>
        <v>40.5</v>
      </c>
      <c r="H66" s="51" t="str">
        <f t="shared" ca="1" si="0"/>
        <v>Gooseberry - Hinnomaki Red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Gooseberry - Invicta Green</v>
      </c>
      <c r="C67" s="42" t="str">
        <f ca="1">'Fruit Trees'!C61</f>
        <v>#5</v>
      </c>
      <c r="D67" s="42" t="str">
        <f ca="1">'Fruit Trees'!D61</f>
        <v>Multi</v>
      </c>
      <c r="E67" s="42" t="str">
        <f ca="1">'Fruit Trees'!E61</f>
        <v>1-1.5'</v>
      </c>
      <c r="F67" s="52">
        <f ca="1">'Fruit Trees'!F61</f>
        <v>21</v>
      </c>
      <c r="G67" s="66">
        <f ca="1">'Fruit Trees'!G61*0.9</f>
        <v>40.5</v>
      </c>
      <c r="H67" s="51" t="str">
        <f t="shared" ca="1" si="0"/>
        <v>Gooseberry - Invicta Green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Grape - Concord (seeded)</v>
      </c>
      <c r="C68" s="42" t="str">
        <f ca="1">'Fruit Trees'!C62</f>
        <v>#7</v>
      </c>
      <c r="D68" s="42" t="str">
        <f ca="1">'Fruit Trees'!D62</f>
        <v>Vine</v>
      </c>
      <c r="E68" s="42" t="str">
        <f ca="1">'Fruit Trees'!E62</f>
        <v>5-6'</v>
      </c>
      <c r="F68" s="52">
        <f ca="1">'Fruit Trees'!F62</f>
        <v>1</v>
      </c>
      <c r="G68" s="66">
        <f ca="1">'Fruit Trees'!G62*0.9</f>
        <v>45</v>
      </c>
      <c r="H68" s="51" t="str">
        <f t="shared" ca="1" si="0"/>
        <v>Grape - Concord (seeded) #7-2021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Hardy Kiwi - Prolific</v>
      </c>
      <c r="C69" s="42" t="str">
        <f ca="1">'Fruit Trees'!C63</f>
        <v>#5</v>
      </c>
      <c r="D69" s="42" t="str">
        <f ca="1">'Fruit Trees'!D63</f>
        <v>Vine</v>
      </c>
      <c r="E69" s="42" t="str">
        <f ca="1">'Fruit Trees'!E63</f>
        <v>6-7'</v>
      </c>
      <c r="F69" s="52">
        <f ca="1">'Fruit Trees'!F63</f>
        <v>19</v>
      </c>
      <c r="G69" s="66">
        <f ca="1">'Fruit Trees'!G63*0.9</f>
        <v>33.300000000000004</v>
      </c>
      <c r="H69" s="51" t="str">
        <f t="shared" ca="1" si="0"/>
        <v>Hardy Kiwi - Prolific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Jujube - GA 866</v>
      </c>
      <c r="C70" s="42" t="str">
        <f ca="1">'Fruit Trees'!C64</f>
        <v>#5</v>
      </c>
      <c r="D70" s="42" t="str">
        <f ca="1">'Fruit Trees'!D64</f>
        <v>0.75-1"</v>
      </c>
      <c r="E70" s="42" t="str">
        <f ca="1">'Fruit Trees'!E64</f>
        <v>8-10'</v>
      </c>
      <c r="F70" s="52">
        <f ca="1">'Fruit Trees'!F64</f>
        <v>50</v>
      </c>
      <c r="G70" s="66">
        <f ca="1">'Fruit Trees'!G64*0.9</f>
        <v>90</v>
      </c>
      <c r="H70" s="51" t="str">
        <f t="shared" ca="1" si="0"/>
        <v>Jujube - GA 866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Jujube - GA 866</v>
      </c>
      <c r="C71" s="42" t="str">
        <f ca="1">'Fruit Trees'!C65</f>
        <v>#7</v>
      </c>
      <c r="D71" s="42" t="str">
        <f ca="1">'Fruit Trees'!D65</f>
        <v>0.75-1"</v>
      </c>
      <c r="E71" s="42" t="str">
        <f ca="1">'Fruit Trees'!E65</f>
        <v>7-10'</v>
      </c>
      <c r="F71" s="52">
        <f ca="1">'Fruit Trees'!F65</f>
        <v>25</v>
      </c>
      <c r="G71" s="66">
        <f ca="1">'Fruit Trees'!G65*0.9</f>
        <v>90</v>
      </c>
      <c r="H71" s="51" t="str">
        <f t="shared" ca="1" si="0"/>
        <v>Jujube - GA 866 #7-2021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Jujube - Lang</v>
      </c>
      <c r="C72" s="42" t="str">
        <f ca="1">'Fruit Trees'!C66</f>
        <v>#5</v>
      </c>
      <c r="D72" s="42" t="str">
        <f ca="1">'Fruit Trees'!D66</f>
        <v>0.75-1"</v>
      </c>
      <c r="E72" s="42" t="str">
        <f ca="1">'Fruit Trees'!E66</f>
        <v>5-7'</v>
      </c>
      <c r="F72" s="52">
        <f ca="1">'Fruit Trees'!F66</f>
        <v>34</v>
      </c>
      <c r="G72" s="66">
        <f ca="1">'Fruit Trees'!G66*0.9</f>
        <v>90</v>
      </c>
      <c r="H72" s="51" t="str">
        <f t="shared" ca="1" si="0"/>
        <v>Jujube - Lang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Jujube - Lang</v>
      </c>
      <c r="C73" s="42" t="str">
        <f ca="1">'Fruit Trees'!C67</f>
        <v>#7</v>
      </c>
      <c r="D73" s="42" t="str">
        <f ca="1">'Fruit Trees'!D67</f>
        <v>0.75-1"</v>
      </c>
      <c r="E73" s="42" t="str">
        <f ca="1">'Fruit Trees'!E67</f>
        <v>6-8'</v>
      </c>
      <c r="F73" s="52">
        <f ca="1">'Fruit Trees'!F67</f>
        <v>7</v>
      </c>
      <c r="G73" s="66">
        <f ca="1">'Fruit Trees'!G67*0.9</f>
        <v>90</v>
      </c>
      <c r="H73" s="51" t="str">
        <f t="shared" ca="1" si="0"/>
        <v>Jujube - Lang #7-2021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Jujube - Li</v>
      </c>
      <c r="C74" s="42" t="str">
        <f ca="1">'Fruit Trees'!C68</f>
        <v>#5</v>
      </c>
      <c r="D74" s="42" t="str">
        <f ca="1">'Fruit Trees'!D68</f>
        <v>0.5-1"</v>
      </c>
      <c r="E74" s="42" t="str">
        <f ca="1">'Fruit Trees'!E68</f>
        <v>4-9'</v>
      </c>
      <c r="F74" s="52">
        <f ca="1">'Fruit Trees'!F68</f>
        <v>177</v>
      </c>
      <c r="G74" s="66">
        <f ca="1">'Fruit Trees'!G68*0.9</f>
        <v>90</v>
      </c>
      <c r="H74" s="51" t="str">
        <f t="shared" ca="1" si="0"/>
        <v>Jujube - Li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Jujube - Li</v>
      </c>
      <c r="C75" s="42" t="str">
        <f ca="1">'Fruit Trees'!C69</f>
        <v>#7</v>
      </c>
      <c r="D75" s="42" t="str">
        <f ca="1">'Fruit Trees'!D69</f>
        <v>0.75-1"</v>
      </c>
      <c r="E75" s="42" t="str">
        <f ca="1">'Fruit Trees'!E69</f>
        <v>6-10'</v>
      </c>
      <c r="F75" s="52">
        <f ca="1">'Fruit Trees'!F69</f>
        <v>10</v>
      </c>
      <c r="G75" s="66">
        <f ca="1">'Fruit Trees'!G69*0.9</f>
        <v>90</v>
      </c>
      <c r="H75" s="51" t="str">
        <f t="shared" ca="1" si="0"/>
        <v>Jujube - Li #7-2021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Jujube - Sugar Cane</v>
      </c>
      <c r="C76" s="42" t="str">
        <f ca="1">'Fruit Trees'!C70</f>
        <v>#5</v>
      </c>
      <c r="D76" s="42" t="str">
        <f ca="1">'Fruit Trees'!D70</f>
        <v>0.5-1"</v>
      </c>
      <c r="E76" s="42" t="str">
        <f ca="1">'Fruit Trees'!E70</f>
        <v>5-10'</v>
      </c>
      <c r="F76" s="52">
        <f ca="1">'Fruit Trees'!F70</f>
        <v>158</v>
      </c>
      <c r="G76" s="66">
        <f ca="1">'Fruit Trees'!G70*0.9</f>
        <v>90</v>
      </c>
      <c r="H76" s="51" t="str">
        <f t="shared" ca="1" si="0"/>
        <v>Jujube - Sugar Cane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Mulberry - Red</v>
      </c>
      <c r="C77" s="42" t="str">
        <f ca="1">'Fruit Trees'!C71</f>
        <v>#5</v>
      </c>
      <c r="D77" s="42" t="str">
        <f ca="1">'Fruit Trees'!D71</f>
        <v>0.5-1.5"</v>
      </c>
      <c r="E77" s="42" t="str">
        <f ca="1">'Fruit Trees'!E71</f>
        <v>4-10'</v>
      </c>
      <c r="F77" s="52">
        <f ca="1">'Fruit Trees'!F71</f>
        <v>41</v>
      </c>
      <c r="G77" s="66">
        <f ca="1">'Fruit Trees'!G71*0.9</f>
        <v>45</v>
      </c>
      <c r="H77" s="51" t="str">
        <f t="shared" ca="1" si="0"/>
        <v>Mulberry - Red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Mulberry - White</v>
      </c>
      <c r="C78" s="42" t="str">
        <f ca="1">'Fruit Trees'!C72</f>
        <v>#5</v>
      </c>
      <c r="D78" s="42" t="str">
        <f ca="1">'Fruit Trees'!D72</f>
        <v>1-1.5"</v>
      </c>
      <c r="E78" s="42" t="str">
        <f ca="1">'Fruit Trees'!E72</f>
        <v>6-9'</v>
      </c>
      <c r="F78" s="52">
        <f ca="1">'Fruit Trees'!F72</f>
        <v>5</v>
      </c>
      <c r="G78" s="66">
        <f ca="1">'Fruit Trees'!G72*0.9</f>
        <v>45</v>
      </c>
      <c r="H78" s="51" t="str">
        <f t="shared" ca="1" si="0"/>
        <v>Mulberry - White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Nectarine - Fantasia</v>
      </c>
      <c r="C79" s="42" t="str">
        <f ca="1">'Fruit Trees'!C73</f>
        <v>#5</v>
      </c>
      <c r="D79" s="42" t="str">
        <f ca="1">'Fruit Trees'!D73</f>
        <v>1-1.25"</v>
      </c>
      <c r="E79" s="42" t="str">
        <f ca="1">'Fruit Trees'!E73</f>
        <v>6-7'</v>
      </c>
      <c r="F79" s="52">
        <f ca="1">'Fruit Trees'!F73</f>
        <v>2</v>
      </c>
      <c r="G79" s="66">
        <f ca="1">'Fruit Trees'!G73*0.9</f>
        <v>49.5</v>
      </c>
      <c r="H79" s="51" t="str">
        <f t="shared" ca="1" si="0"/>
        <v>Nectarine - Fantasia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Nectarine - Flavortop</v>
      </c>
      <c r="C80" s="42" t="str">
        <f ca="1">'Fruit Trees'!C74</f>
        <v>#5</v>
      </c>
      <c r="D80" s="42" t="str">
        <f ca="1">'Fruit Trees'!D74</f>
        <v>1-1.25"</v>
      </c>
      <c r="E80" s="42" t="str">
        <f ca="1">'Fruit Trees'!E74</f>
        <v>6-7'</v>
      </c>
      <c r="F80" s="52">
        <f ca="1">'Fruit Trees'!F74</f>
        <v>40</v>
      </c>
      <c r="G80" s="66">
        <f ca="1">'Fruit Trees'!G74*0.9</f>
        <v>49.5</v>
      </c>
      <c r="H80" s="51" t="str">
        <f t="shared" ca="1" si="0"/>
        <v>Nectarine - Flavortop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Nectarine - Independence</v>
      </c>
      <c r="C81" s="42" t="str">
        <f ca="1">'Fruit Trees'!C75</f>
        <v>#5</v>
      </c>
      <c r="D81" s="42" t="str">
        <f ca="1">'Fruit Trees'!D75</f>
        <v>0.75-1"</v>
      </c>
      <c r="E81" s="42" t="str">
        <f ca="1">'Fruit Trees'!E75</f>
        <v>5-7'</v>
      </c>
      <c r="F81" s="52">
        <f ca="1">'Fruit Trees'!F75</f>
        <v>41</v>
      </c>
      <c r="G81" s="53">
        <f ca="1">'Fruit Trees'!G75*0.9</f>
        <v>49.5</v>
      </c>
      <c r="H81" s="51" t="str">
        <f t="shared" ca="1" si="0"/>
        <v>Nectarine - Independence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Nectarine - Redgold</v>
      </c>
      <c r="C82" s="42" t="str">
        <f ca="1">'Fruit Trees'!C76</f>
        <v>#5</v>
      </c>
      <c r="D82" s="42" t="str">
        <f ca="1">'Fruit Trees'!D76</f>
        <v>0.75-1"</v>
      </c>
      <c r="E82" s="42" t="str">
        <f ca="1">'Fruit Trees'!E76</f>
        <v>4-5'</v>
      </c>
      <c r="F82" s="52">
        <f ca="1">'Fruit Trees'!F76</f>
        <v>64</v>
      </c>
      <c r="G82" s="66">
        <f ca="1">'Fruit Trees'!G76*0.9</f>
        <v>49.5</v>
      </c>
      <c r="H82" s="51" t="str">
        <f t="shared" ca="1" si="0"/>
        <v>Nectarine - Redgold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Nectarine (White) - Arctic Glo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4-6'</v>
      </c>
      <c r="F83" s="52">
        <f ca="1">'Fruit Trees'!F77</f>
        <v>56</v>
      </c>
      <c r="G83" s="66">
        <f ca="1">'Fruit Trees'!G77*0.9</f>
        <v>49.5</v>
      </c>
      <c r="H83" s="51" t="str">
        <f t="shared" ca="1" si="0"/>
        <v>Nectarine (White) - Arctic Glo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Nectarine (White) - Arctic Glo</v>
      </c>
      <c r="C84" s="42" t="str">
        <f ca="1">'Fruit Trees'!C78</f>
        <v>#7</v>
      </c>
      <c r="D84" s="42" t="str">
        <f ca="1">'Fruit Trees'!D78</f>
        <v>0.75-1"</v>
      </c>
      <c r="E84" s="42" t="str">
        <f ca="1">'Fruit Trees'!E78</f>
        <v>5-6'</v>
      </c>
      <c r="F84" s="52">
        <f ca="1">'Fruit Trees'!F78</f>
        <v>20</v>
      </c>
      <c r="G84" s="66">
        <f ca="1">'Fruit Trees'!G78*0.9</f>
        <v>72</v>
      </c>
      <c r="H84" s="51" t="str">
        <f t="shared" ca="1" si="0"/>
        <v>Nectarine (White) - Arctic Glo #7-2021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Nectarine (White) - Arctic Sweet</v>
      </c>
      <c r="C85" s="42" t="str">
        <f ca="1">'Fruit Trees'!C79</f>
        <v>#7</v>
      </c>
      <c r="D85" s="42" t="str">
        <f ca="1">'Fruit Trees'!D79</f>
        <v>1.25-1.5"</v>
      </c>
      <c r="E85" s="42" t="str">
        <f ca="1">'Fruit Trees'!E79</f>
        <v>9-10'</v>
      </c>
      <c r="F85" s="52">
        <f ca="1">'Fruit Trees'!F79</f>
        <v>23</v>
      </c>
      <c r="G85" s="66">
        <f ca="1">'Fruit Trees'!G79*0.9</f>
        <v>72</v>
      </c>
      <c r="H85" s="51" t="str">
        <f t="shared" ca="1" si="0"/>
        <v>Nectarine (White) - Arctic Sweet #7-2021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Pawpaw</v>
      </c>
      <c r="C86" s="42" t="str">
        <f ca="1">'Fruit Trees'!C80</f>
        <v>#5</v>
      </c>
      <c r="D86" s="42" t="str">
        <f ca="1">'Fruit Trees'!D80</f>
        <v>0.25-0.5"</v>
      </c>
      <c r="E86" s="42" t="str">
        <f ca="1">'Fruit Trees'!E80</f>
        <v>1-4'</v>
      </c>
      <c r="F86" s="52">
        <f ca="1">'Fruit Trees'!F80</f>
        <v>69</v>
      </c>
      <c r="G86" s="66">
        <f ca="1">'Fruit Trees'!G80*0.9</f>
        <v>45</v>
      </c>
      <c r="H86" s="51" t="str">
        <f t="shared" ca="1" si="0"/>
        <v>Pawpaw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Pawpaw - Allegheny</v>
      </c>
      <c r="C87" s="42" t="str">
        <f ca="1">'Fruit Trees'!C81</f>
        <v>#5</v>
      </c>
      <c r="D87" s="42" t="str">
        <f ca="1">'Fruit Trees'!D81</f>
        <v>0.25-0.5"</v>
      </c>
      <c r="E87" s="42" t="str">
        <f ca="1">'Fruit Trees'!E81</f>
        <v>2-4.5'</v>
      </c>
      <c r="F87" s="52">
        <f ca="1">'Fruit Trees'!F81</f>
        <v>12</v>
      </c>
      <c r="G87" s="53">
        <f ca="1">'Fruit Trees'!G81*0.9</f>
        <v>90</v>
      </c>
      <c r="H87" s="51" t="str">
        <f t="shared" ca="1" si="0"/>
        <v>Pawpaw - Allegheny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Pawpaw - NC-1</v>
      </c>
      <c r="C88" s="42" t="str">
        <f ca="1">'Fruit Trees'!C82</f>
        <v>#5</v>
      </c>
      <c r="D88" s="42" t="str">
        <f ca="1">'Fruit Trees'!D82</f>
        <v>0.25-0.5"</v>
      </c>
      <c r="E88" s="42" t="str">
        <f ca="1">'Fruit Trees'!E82</f>
        <v>2-3'</v>
      </c>
      <c r="F88" s="52">
        <f ca="1">'Fruit Trees'!F82</f>
        <v>47</v>
      </c>
      <c r="G88" s="53">
        <f ca="1">'Fruit Trees'!G82*0.9</f>
        <v>90</v>
      </c>
      <c r="H88" s="51" t="str">
        <f t="shared" ca="1" si="0"/>
        <v>Pawpaw - NC-1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Pawpaw - Potomac</v>
      </c>
      <c r="C89" s="42" t="str">
        <f ca="1">'Fruit Trees'!C83</f>
        <v>#5</v>
      </c>
      <c r="D89" s="42" t="str">
        <f ca="1">'Fruit Trees'!D83</f>
        <v>0.25-0.5"</v>
      </c>
      <c r="E89" s="42" t="str">
        <f ca="1">'Fruit Trees'!E83</f>
        <v>1-4.5'</v>
      </c>
      <c r="F89" s="52">
        <f ca="1">'Fruit Trees'!F83</f>
        <v>51</v>
      </c>
      <c r="G89" s="53">
        <f ca="1">'Fruit Trees'!G83*0.9</f>
        <v>90</v>
      </c>
      <c r="H89" s="51" t="str">
        <f t="shared" ca="1" si="0"/>
        <v>Pawpaw - Potomac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Pawpaw - Shenandoah</v>
      </c>
      <c r="C90" s="42" t="str">
        <f ca="1">'Fruit Trees'!C84</f>
        <v>#5</v>
      </c>
      <c r="D90" s="42" t="str">
        <f ca="1">'Fruit Trees'!D84</f>
        <v>0.25-0.5"</v>
      </c>
      <c r="E90" s="42" t="str">
        <f ca="1">'Fruit Trees'!E84</f>
        <v>2-4'</v>
      </c>
      <c r="F90" s="52">
        <f ca="1">'Fruit Trees'!F84</f>
        <v>7</v>
      </c>
      <c r="G90" s="53">
        <f ca="1">'Fruit Trees'!G84*0.9</f>
        <v>90</v>
      </c>
      <c r="H90" s="51" t="str">
        <f t="shared" ca="1" si="0"/>
        <v>Pawpaw - Shenandoah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Pawpaw - Wabash</v>
      </c>
      <c r="C91" s="42" t="str">
        <f ca="1">'Fruit Trees'!C85</f>
        <v>#5</v>
      </c>
      <c r="D91" s="42" t="str">
        <f ca="1">'Fruit Trees'!D85</f>
        <v>0.25-0.25"</v>
      </c>
      <c r="E91" s="42" t="str">
        <f ca="1">'Fruit Trees'!E85</f>
        <v>1-3'</v>
      </c>
      <c r="F91" s="52">
        <f ca="1">'Fruit Trees'!F85</f>
        <v>22</v>
      </c>
      <c r="G91" s="53">
        <f ca="1">'Fruit Trees'!G85*0.9</f>
        <v>90</v>
      </c>
      <c r="H91" s="51" t="str">
        <f t="shared" ca="1" si="0"/>
        <v>Pawpaw - Wabash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Peach - Contender</v>
      </c>
      <c r="C92" s="42" t="str">
        <f ca="1">'Fruit Trees'!C86</f>
        <v>#5</v>
      </c>
      <c r="D92" s="42" t="str">
        <f ca="1">'Fruit Trees'!D86</f>
        <v>0.75-1"</v>
      </c>
      <c r="E92" s="42" t="str">
        <f ca="1">'Fruit Trees'!E86</f>
        <v>4-6'</v>
      </c>
      <c r="F92" s="52">
        <f ca="1">'Fruit Trees'!F86</f>
        <v>15</v>
      </c>
      <c r="G92" s="53">
        <f ca="1">'Fruit Trees'!G86*0.9</f>
        <v>49.5</v>
      </c>
      <c r="H92" s="51" t="str">
        <f t="shared" ca="1" si="0"/>
        <v>Peach - Contender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Peach - Cresthaven</v>
      </c>
      <c r="C93" s="42" t="str">
        <f ca="1">'Fruit Trees'!C87</f>
        <v>#5</v>
      </c>
      <c r="D93" s="42" t="str">
        <f ca="1">'Fruit Trees'!D87</f>
        <v>0.75-0.75"</v>
      </c>
      <c r="E93" s="42" t="str">
        <f ca="1">'Fruit Trees'!E87</f>
        <v>4-6'</v>
      </c>
      <c r="F93" s="52">
        <f ca="1">'Fruit Trees'!F87</f>
        <v>33</v>
      </c>
      <c r="G93" s="53">
        <f ca="1">'Fruit Trees'!G87*0.9</f>
        <v>49.5</v>
      </c>
      <c r="H93" s="51" t="str">
        <f t="shared" ca="1" si="0"/>
        <v>Peach - Cresthaven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Peach - Harvester</v>
      </c>
      <c r="C94" s="42" t="str">
        <f ca="1">'Fruit Trees'!C88</f>
        <v>#5</v>
      </c>
      <c r="D94" s="42" t="str">
        <f ca="1">'Fruit Trees'!D88</f>
        <v>0.5-1.25"</v>
      </c>
      <c r="E94" s="42" t="str">
        <f ca="1">'Fruit Trees'!E88</f>
        <v>4-8'</v>
      </c>
      <c r="F94" s="52">
        <f ca="1">'Fruit Trees'!F88</f>
        <v>67</v>
      </c>
      <c r="G94" s="53">
        <f ca="1">'Fruit Trees'!G88*0.9</f>
        <v>49.5</v>
      </c>
      <c r="H94" s="51" t="str">
        <f t="shared" ca="1" si="0"/>
        <v>Peach - Harvester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Peach - Redhaven</v>
      </c>
      <c r="C95" s="42" t="str">
        <f ca="1">'Fruit Trees'!C89</f>
        <v>#5</v>
      </c>
      <c r="D95" s="42" t="str">
        <f ca="1">'Fruit Trees'!D89</f>
        <v>0.75-1"</v>
      </c>
      <c r="E95" s="42" t="str">
        <f ca="1">'Fruit Trees'!E89</f>
        <v>4-8'</v>
      </c>
      <c r="F95" s="52">
        <f ca="1">'Fruit Trees'!F89</f>
        <v>1</v>
      </c>
      <c r="G95" s="53">
        <f ca="1">'Fruit Trees'!G89*0.9</f>
        <v>49.5</v>
      </c>
      <c r="H95" s="51" t="str">
        <f t="shared" ca="1" si="0"/>
        <v>Peach - Redhaven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Peach - Redskin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4-5'</v>
      </c>
      <c r="F96" s="52">
        <f ca="1">'Fruit Trees'!F90</f>
        <v>21</v>
      </c>
      <c r="G96" s="66">
        <f ca="1">'Fruit Trees'!G90*0.9</f>
        <v>49.5</v>
      </c>
      <c r="H96" s="51" t="str">
        <f t="shared" ca="1" si="0"/>
        <v>Peach - Redskin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Peach - Sugar May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4-5'</v>
      </c>
      <c r="F97" s="52">
        <f ca="1">'Fruit Trees'!F91</f>
        <v>17</v>
      </c>
      <c r="G97" s="66">
        <f ca="1">'Fruit Trees'!G91*0.9</f>
        <v>49.5</v>
      </c>
      <c r="H97" s="51" t="str">
        <f t="shared" ca="1" si="0"/>
        <v>Peach - Sugar May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Peach (Donut White) - Galaxy</v>
      </c>
      <c r="C98" s="42" t="str">
        <f ca="1">'Fruit Trees'!C92</f>
        <v>#5</v>
      </c>
      <c r="D98" s="42" t="str">
        <f ca="1">'Fruit Trees'!D92</f>
        <v>0.75-1"</v>
      </c>
      <c r="E98" s="42" t="str">
        <f ca="1">'Fruit Trees'!E92</f>
        <v>5-7'</v>
      </c>
      <c r="F98" s="52">
        <f ca="1">'Fruit Trees'!F92</f>
        <v>119</v>
      </c>
      <c r="G98" s="66">
        <f ca="1">'Fruit Trees'!G92*0.9</f>
        <v>49.5</v>
      </c>
      <c r="H98" s="51" t="str">
        <f t="shared" ca="1" si="0"/>
        <v>Peach (Donut White) - Galaxy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Peach (Donut White) - Saturn</v>
      </c>
      <c r="C99" s="42" t="str">
        <f ca="1">'Fruit Trees'!C93</f>
        <v>#5</v>
      </c>
      <c r="D99" s="42" t="str">
        <f ca="1">'Fruit Trees'!D93</f>
        <v>0.75-1"</v>
      </c>
      <c r="E99" s="42" t="str">
        <f ca="1">'Fruit Trees'!E93</f>
        <v>5-9'</v>
      </c>
      <c r="F99" s="52">
        <f ca="1">'Fruit Trees'!F93</f>
        <v>114</v>
      </c>
      <c r="G99" s="66">
        <f ca="1">'Fruit Trees'!G93*0.9</f>
        <v>49.5</v>
      </c>
      <c r="H99" s="51" t="str">
        <f t="shared" ca="1" si="0"/>
        <v>Peach (Donut White) - Saturn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Peach (White) - Snow Giant</v>
      </c>
      <c r="C100" s="42" t="str">
        <f ca="1">'Fruit Trees'!C94</f>
        <v>#5</v>
      </c>
      <c r="D100" s="42" t="str">
        <f ca="1">'Fruit Trees'!D94</f>
        <v>0.75-1"</v>
      </c>
      <c r="E100" s="42" t="str">
        <f ca="1">'Fruit Trees'!E94</f>
        <v>4-6'</v>
      </c>
      <c r="F100" s="52">
        <f ca="1">'Fruit Trees'!F94</f>
        <v>72</v>
      </c>
      <c r="G100" s="66">
        <f ca="1">'Fruit Trees'!G94*0.9</f>
        <v>49.5</v>
      </c>
      <c r="H100" s="51" t="str">
        <f t="shared" ca="1" si="0"/>
        <v>Peach (White) - Snow Giant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Peach (White) - Sugar Giant</v>
      </c>
      <c r="C101" s="42" t="str">
        <f ca="1">'Fruit Trees'!C95</f>
        <v>#5</v>
      </c>
      <c r="D101" s="42" t="str">
        <f ca="1">'Fruit Trees'!D95</f>
        <v>0.75-1"</v>
      </c>
      <c r="E101" s="42" t="str">
        <f ca="1">'Fruit Trees'!E95</f>
        <v>4-6'</v>
      </c>
      <c r="F101" s="52">
        <f ca="1">'Fruit Trees'!F95</f>
        <v>121</v>
      </c>
      <c r="G101" s="66">
        <f ca="1">'Fruit Trees'!G95*0.9</f>
        <v>49.5</v>
      </c>
      <c r="H101" s="51" t="str">
        <f t="shared" ca="1" si="0"/>
        <v>Peach (White) - Sugar Giant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Peach (White) - White Lady</v>
      </c>
      <c r="C102" s="42" t="str">
        <f ca="1">'Fruit Trees'!C96</f>
        <v>#5</v>
      </c>
      <c r="D102" s="42" t="str">
        <f ca="1">'Fruit Trees'!D96</f>
        <v>0.75-1.25"</v>
      </c>
      <c r="E102" s="42" t="str">
        <f ca="1">'Fruit Trees'!E96</f>
        <v>5-8'</v>
      </c>
      <c r="F102" s="52">
        <f ca="1">'Fruit Trees'!F96</f>
        <v>168</v>
      </c>
      <c r="G102" s="66">
        <f ca="1">'Fruit Trees'!G96*0.9</f>
        <v>49.5</v>
      </c>
      <c r="H102" s="51" t="str">
        <f t="shared" ca="1" si="0"/>
        <v>Peach (White) - White Lady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Pear - 4in1 2 Tier Espalier</v>
      </c>
      <c r="C103" s="42" t="str">
        <f ca="1">'Fruit Trees'!C97</f>
        <v>#10</v>
      </c>
      <c r="D103" s="42" t="str">
        <f ca="1">'Fruit Trees'!D97</f>
        <v>0.75-1"</v>
      </c>
      <c r="E103" s="42" t="str">
        <f ca="1">'Fruit Trees'!E97</f>
        <v>4-6'</v>
      </c>
      <c r="F103" s="52">
        <f ca="1">'Fruit Trees'!F97</f>
        <v>2</v>
      </c>
      <c r="G103" s="66">
        <f ca="1">'Fruit Trees'!G97*0.9</f>
        <v>135</v>
      </c>
      <c r="H103" s="51" t="str">
        <f t="shared" ca="1" si="0"/>
        <v>Pear - 4in1 2 Tier Espalier #10-2021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Pear - Ayers</v>
      </c>
      <c r="C104" s="42" t="str">
        <f ca="1">'Fruit Trees'!C98</f>
        <v>#5</v>
      </c>
      <c r="D104" s="42" t="str">
        <f ca="1">'Fruit Trees'!D98</f>
        <v>0.75-1"</v>
      </c>
      <c r="E104" s="42" t="str">
        <f ca="1">'Fruit Trees'!E98</f>
        <v>6-9'</v>
      </c>
      <c r="F104" s="52">
        <f ca="1">'Fruit Trees'!F98</f>
        <v>41</v>
      </c>
      <c r="G104" s="66">
        <f ca="1">'Fruit Trees'!G98*0.9</f>
        <v>49.5</v>
      </c>
      <c r="H104" s="51" t="str">
        <f t="shared" ca="1" si="0"/>
        <v>Pear - Ayers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Pear - Ayers</v>
      </c>
      <c r="C105" s="42" t="str">
        <f ca="1">'Fruit Trees'!C99</f>
        <v>#7</v>
      </c>
      <c r="D105" s="42" t="str">
        <f ca="1">'Fruit Trees'!D99</f>
        <v>0.75-1"</v>
      </c>
      <c r="E105" s="42" t="str">
        <f ca="1">'Fruit Trees'!E99</f>
        <v>7-12'</v>
      </c>
      <c r="F105" s="52">
        <f ca="1">'Fruit Trees'!F99</f>
        <v>11</v>
      </c>
      <c r="G105" s="66">
        <f ca="1">'Fruit Trees'!G99*0.9</f>
        <v>72</v>
      </c>
      <c r="H105" s="51" t="str">
        <f t="shared" ca="1" si="0"/>
        <v>Pear - Ayers #7-2021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Pear - Bartlett</v>
      </c>
      <c r="C106" s="42" t="str">
        <f ca="1">'Fruit Trees'!C100</f>
        <v>#5</v>
      </c>
      <c r="D106" s="42" t="str">
        <f ca="1">'Fruit Trees'!D100</f>
        <v>0.75-1"</v>
      </c>
      <c r="E106" s="42" t="str">
        <f ca="1">'Fruit Trees'!E100</f>
        <v>6-9'</v>
      </c>
      <c r="F106" s="52">
        <f ca="1">'Fruit Trees'!F100</f>
        <v>40</v>
      </c>
      <c r="G106" s="66">
        <f ca="1">'Fruit Trees'!G100*0.9</f>
        <v>49.5</v>
      </c>
      <c r="H106" s="51" t="str">
        <f t="shared" ca="1" si="0"/>
        <v>Pear - Bartlett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Pear - Bartlett</v>
      </c>
      <c r="C107" s="42" t="str">
        <f ca="1">'Fruit Trees'!C101</f>
        <v>#7</v>
      </c>
      <c r="D107" s="42" t="str">
        <f ca="1">'Fruit Trees'!D101</f>
        <v>0.75-1.25"</v>
      </c>
      <c r="E107" s="42" t="str">
        <f ca="1">'Fruit Trees'!E101</f>
        <v>6-10'</v>
      </c>
      <c r="F107" s="52">
        <f ca="1">'Fruit Trees'!F101</f>
        <v>168</v>
      </c>
      <c r="G107" s="66">
        <f ca="1">'Fruit Trees'!G101*0.9</f>
        <v>72</v>
      </c>
      <c r="H107" s="51" t="str">
        <f t="shared" ca="1" si="0"/>
        <v>Pear - Bartlett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Pear - Golden Russet Bosc</v>
      </c>
      <c r="C108" s="42" t="str">
        <f ca="1">'Fruit Trees'!C102</f>
        <v>#5</v>
      </c>
      <c r="D108" s="42" t="str">
        <f ca="1">'Fruit Trees'!D102</f>
        <v>1-1.25"</v>
      </c>
      <c r="E108" s="42" t="str">
        <f ca="1">'Fruit Trees'!E102</f>
        <v>9-10'</v>
      </c>
      <c r="F108" s="52">
        <f ca="1">'Fruit Trees'!F102</f>
        <v>3</v>
      </c>
      <c r="G108" s="66">
        <f ca="1">'Fruit Trees'!G102*0.9</f>
        <v>49.5</v>
      </c>
      <c r="H108" s="51" t="str">
        <f t="shared" ca="1" si="0"/>
        <v>Pear - Golden Russet Bosc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Pear - Golden Russet Bosc</v>
      </c>
      <c r="C109" s="42" t="str">
        <f ca="1">'Fruit Trees'!C103</f>
        <v>#7</v>
      </c>
      <c r="D109" s="42" t="str">
        <f ca="1">'Fruit Trees'!D103</f>
        <v>0.75-1.25"</v>
      </c>
      <c r="E109" s="42" t="str">
        <f ca="1">'Fruit Trees'!E103</f>
        <v>7-11'</v>
      </c>
      <c r="F109" s="52">
        <f ca="1">'Fruit Trees'!F103</f>
        <v>73</v>
      </c>
      <c r="G109" s="66">
        <f ca="1">'Fruit Trees'!G103*0.9</f>
        <v>72</v>
      </c>
      <c r="H109" s="51" t="str">
        <f t="shared" ca="1" si="0"/>
        <v>Pear - Golden Russet Bosc #7-2021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Pear - Harrowsweet</v>
      </c>
      <c r="C110" s="42" t="str">
        <f ca="1">'Fruit Trees'!C104</f>
        <v>#5</v>
      </c>
      <c r="D110" s="42" t="str">
        <f ca="1">'Fruit Trees'!D104</f>
        <v>1-1"</v>
      </c>
      <c r="E110" s="42" t="str">
        <f ca="1">'Fruit Trees'!E104</f>
        <v>7-10'</v>
      </c>
      <c r="F110" s="52">
        <f ca="1">'Fruit Trees'!F104</f>
        <v>1</v>
      </c>
      <c r="G110" s="66">
        <f ca="1">'Fruit Trees'!G104*0.9</f>
        <v>49.5</v>
      </c>
      <c r="H110" s="51" t="str">
        <f t="shared" ca="1" si="0"/>
        <v>Pear - Harrowsweet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Pear - Harrowsweet</v>
      </c>
      <c r="C111" s="42" t="str">
        <f ca="1">'Fruit Trees'!C105</f>
        <v>#7</v>
      </c>
      <c r="D111" s="42" t="str">
        <f ca="1">'Fruit Trees'!D105</f>
        <v>0.75-1"</v>
      </c>
      <c r="E111" s="42" t="str">
        <f ca="1">'Fruit Trees'!E105</f>
        <v>8-10'</v>
      </c>
      <c r="F111" s="52">
        <f ca="1">'Fruit Trees'!F105</f>
        <v>59</v>
      </c>
      <c r="G111" s="66">
        <f ca="1">'Fruit Trees'!G105*0.9</f>
        <v>72</v>
      </c>
      <c r="H111" s="51" t="str">
        <f t="shared" ca="1" si="0"/>
        <v>Pear - Harrowsweet #7-2021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Pear - Kieffer</v>
      </c>
      <c r="C112" s="42" t="str">
        <f ca="1">'Fruit Trees'!C106</f>
        <v>#5</v>
      </c>
      <c r="D112" s="42" t="str">
        <f ca="1">'Fruit Trees'!D106</f>
        <v>0.75-1"</v>
      </c>
      <c r="E112" s="42" t="str">
        <f ca="1">'Fruit Trees'!E106</f>
        <v>8-10'</v>
      </c>
      <c r="F112" s="52">
        <f ca="1">'Fruit Trees'!F106</f>
        <v>25</v>
      </c>
      <c r="G112" s="66">
        <f ca="1">'Fruit Trees'!G106*0.9</f>
        <v>49.5</v>
      </c>
      <c r="H112" s="51" t="str">
        <f t="shared" ca="1" si="0"/>
        <v>Pear - Kieffer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Pear - Kieffer</v>
      </c>
      <c r="C113" s="42" t="str">
        <f ca="1">'Fruit Trees'!C107</f>
        <v>#7</v>
      </c>
      <c r="D113" s="42" t="str">
        <f ca="1">'Fruit Trees'!D107</f>
        <v>1-1.25"</v>
      </c>
      <c r="E113" s="42" t="str">
        <f ca="1">'Fruit Trees'!E107</f>
        <v>8-10'</v>
      </c>
      <c r="F113" s="52">
        <f ca="1">'Fruit Trees'!F107</f>
        <v>37</v>
      </c>
      <c r="G113" s="66">
        <f ca="1">'Fruit Trees'!G107*0.9</f>
        <v>72</v>
      </c>
      <c r="H113" s="51" t="str">
        <f t="shared" ca="1" si="0"/>
        <v>Pear - Kieffer #7-2021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Pear - Kieffer</v>
      </c>
      <c r="C114" s="42" t="str">
        <f ca="1">'Fruit Trees'!C108</f>
        <v>#10</v>
      </c>
      <c r="D114" s="42" t="str">
        <f ca="1">'Fruit Trees'!D108</f>
        <v>1-1.25"</v>
      </c>
      <c r="E114" s="42" t="str">
        <f ca="1">'Fruit Trees'!E108</f>
        <v>8-10'</v>
      </c>
      <c r="F114" s="52">
        <f ca="1">'Fruit Trees'!F108</f>
        <v>11</v>
      </c>
      <c r="G114" s="66">
        <f ca="1">'Fruit Trees'!G108*0.9</f>
        <v>90</v>
      </c>
      <c r="H114" s="51" t="str">
        <f t="shared" ca="1" si="0"/>
        <v>Pear - Kieffer #10-2021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Pear - Moonglow</v>
      </c>
      <c r="C115" s="42" t="str">
        <f ca="1">'Fruit Trees'!C109</f>
        <v>#5</v>
      </c>
      <c r="D115" s="42" t="str">
        <f ca="1">'Fruit Trees'!D109</f>
        <v>0.75-1"</v>
      </c>
      <c r="E115" s="42" t="str">
        <f ca="1">'Fruit Trees'!E109</f>
        <v>7-9'</v>
      </c>
      <c r="F115" s="52">
        <f ca="1">'Fruit Trees'!F109</f>
        <v>75</v>
      </c>
      <c r="G115" s="66">
        <f ca="1">'Fruit Trees'!G109*0.9</f>
        <v>49.5</v>
      </c>
      <c r="H115" s="51" t="str">
        <f t="shared" ca="1" si="0"/>
        <v>Pear - Moonglow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Pear - Moonglow</v>
      </c>
      <c r="C116" s="42" t="str">
        <f ca="1">'Fruit Trees'!C110</f>
        <v>#7</v>
      </c>
      <c r="D116" s="42" t="str">
        <f ca="1">'Fruit Trees'!D110</f>
        <v>0.75-1.25"</v>
      </c>
      <c r="E116" s="42" t="str">
        <f ca="1">'Fruit Trees'!E110</f>
        <v>8-9'</v>
      </c>
      <c r="F116" s="52">
        <f ca="1">'Fruit Trees'!F110</f>
        <v>8</v>
      </c>
      <c r="G116" s="66">
        <f ca="1">'Fruit Trees'!G110*0.9</f>
        <v>72</v>
      </c>
      <c r="H116" s="51" t="str">
        <f t="shared" ca="1" si="0"/>
        <v>Pear - Moonglow #7-2021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Pear - Potomac</v>
      </c>
      <c r="C117" s="42" t="str">
        <f ca="1">'Fruit Trees'!C111</f>
        <v>#7</v>
      </c>
      <c r="D117" s="42" t="str">
        <f ca="1">'Fruit Trees'!D111</f>
        <v>0.75-1"</v>
      </c>
      <c r="E117" s="42" t="str">
        <f ca="1">'Fruit Trees'!E111</f>
        <v>7-9'</v>
      </c>
      <c r="F117" s="52">
        <f ca="1">'Fruit Trees'!F111</f>
        <v>28</v>
      </c>
      <c r="G117" s="66">
        <f ca="1">'Fruit Trees'!G111*0.9</f>
        <v>72</v>
      </c>
      <c r="H117" s="51" t="str">
        <f t="shared" ca="1" si="0"/>
        <v>Pear - Potomac #7-2021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Persimmon - Chocolate</v>
      </c>
      <c r="C118" s="42" t="str">
        <f ca="1">'Fruit Trees'!C112</f>
        <v>#5</v>
      </c>
      <c r="D118" s="42" t="str">
        <f ca="1">'Fruit Trees'!D112</f>
        <v>0.75-1"</v>
      </c>
      <c r="E118" s="42" t="str">
        <f ca="1">'Fruit Trees'!E112</f>
        <v>4.5-6.5'</v>
      </c>
      <c r="F118" s="52">
        <f ca="1">'Fruit Trees'!F112</f>
        <v>8</v>
      </c>
      <c r="G118" s="66">
        <f ca="1">'Fruit Trees'!G112*0.9</f>
        <v>90</v>
      </c>
      <c r="H118" s="51" t="str">
        <f t="shared" ca="1" si="0"/>
        <v>Persimmon - Chocolate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Persimmon - Fuyu</v>
      </c>
      <c r="C119" s="42" t="str">
        <f ca="1">'Fruit Trees'!C113</f>
        <v>#5</v>
      </c>
      <c r="D119" s="42" t="str">
        <f ca="1">'Fruit Trees'!D113</f>
        <v>0.5-1"</v>
      </c>
      <c r="E119" s="42" t="str">
        <f ca="1">'Fruit Trees'!E113</f>
        <v>4-8'</v>
      </c>
      <c r="F119" s="52">
        <f ca="1">'Fruit Trees'!F113</f>
        <v>155</v>
      </c>
      <c r="G119" s="66">
        <f ca="1">'Fruit Trees'!G113*0.9</f>
        <v>90</v>
      </c>
      <c r="H119" s="51" t="str">
        <f t="shared" ca="1" si="0"/>
        <v>Persimmon - Fuyu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Persimmon - Fuyu</v>
      </c>
      <c r="C120" s="42" t="str">
        <f ca="1">'Fruit Trees'!C114</f>
        <v>#7</v>
      </c>
      <c r="D120" s="42" t="str">
        <f ca="1">'Fruit Trees'!D114</f>
        <v>0.75-1"</v>
      </c>
      <c r="E120" s="42" t="str">
        <f ca="1">'Fruit Trees'!E114</f>
        <v>5-8'</v>
      </c>
      <c r="F120" s="52">
        <f ca="1">'Fruit Trees'!F114</f>
        <v>3</v>
      </c>
      <c r="G120" s="66">
        <f ca="1">'Fruit Trees'!G114*0.9</f>
        <v>90</v>
      </c>
      <c r="H120" s="51" t="str">
        <f t="shared" ca="1" si="0"/>
        <v>Persimmon - Fuyu #7-2021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Persimmon - Giant Fuyu</v>
      </c>
      <c r="C121" s="42" t="str">
        <f ca="1">'Fruit Trees'!C115</f>
        <v>#5</v>
      </c>
      <c r="D121" s="42" t="str">
        <f ca="1">'Fruit Trees'!D115</f>
        <v>0.5-1"</v>
      </c>
      <c r="E121" s="42" t="str">
        <f ca="1">'Fruit Trees'!E115</f>
        <v>4-8'</v>
      </c>
      <c r="F121" s="52">
        <f ca="1">'Fruit Trees'!F115</f>
        <v>112</v>
      </c>
      <c r="G121" s="66">
        <f ca="1">'Fruit Trees'!G115*0.9</f>
        <v>90</v>
      </c>
      <c r="H121" s="51" t="str">
        <f t="shared" ca="1" si="0"/>
        <v>Persimmon - Giant Fuyu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Persimmon - Hachiya</v>
      </c>
      <c r="C122" s="42" t="str">
        <f ca="1">'Fruit Trees'!C116</f>
        <v>#5</v>
      </c>
      <c r="D122" s="42" t="str">
        <f ca="1">'Fruit Trees'!D116</f>
        <v>0.5-1"</v>
      </c>
      <c r="E122" s="42" t="str">
        <f ca="1">'Fruit Trees'!E116</f>
        <v>3.5-7'</v>
      </c>
      <c r="F122" s="52">
        <f ca="1">'Fruit Trees'!F116</f>
        <v>47</v>
      </c>
      <c r="G122" s="66">
        <f ca="1">'Fruit Trees'!G116*0.9</f>
        <v>90</v>
      </c>
      <c r="H122" s="51" t="str">
        <f t="shared" ca="1" si="0"/>
        <v>Persimmon - Hachiya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Persimmon - Nikita's Gift</v>
      </c>
      <c r="C123" s="42" t="str">
        <f ca="1">'Fruit Trees'!C117</f>
        <v>#7</v>
      </c>
      <c r="D123" s="42" t="str">
        <f ca="1">'Fruit Trees'!D117</f>
        <v>0.5-0.75"</v>
      </c>
      <c r="E123" s="42" t="str">
        <f ca="1">'Fruit Trees'!E117</f>
        <v>3-4'</v>
      </c>
      <c r="F123" s="52">
        <f ca="1">'Fruit Trees'!F117</f>
        <v>9</v>
      </c>
      <c r="G123" s="66">
        <f ca="1">'Fruit Trees'!G117*0.9</f>
        <v>90</v>
      </c>
      <c r="H123" s="51" t="str">
        <f t="shared" ca="1" si="0"/>
        <v>Persimmon - Nikita's Gift #7-2021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Persimmon - Prok</v>
      </c>
      <c r="C124" s="42" t="str">
        <f ca="1">'Fruit Trees'!C118</f>
        <v>#7</v>
      </c>
      <c r="D124" s="42" t="str">
        <f ca="1">'Fruit Trees'!D118</f>
        <v>0.5-0.75"</v>
      </c>
      <c r="E124" s="42" t="str">
        <f ca="1">'Fruit Trees'!E118</f>
        <v>2-3'</v>
      </c>
      <c r="F124" s="52">
        <f ca="1">'Fruit Trees'!F118</f>
        <v>4</v>
      </c>
      <c r="G124" s="66">
        <f ca="1">'Fruit Trees'!G118*0.9</f>
        <v>90</v>
      </c>
      <c r="H124" s="51" t="str">
        <f t="shared" ca="1" si="0"/>
        <v>Persimmon - Prok #7-2021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Persimmon - Rosseyanka</v>
      </c>
      <c r="C125" s="42" t="str">
        <f ca="1">'Fruit Trees'!C119</f>
        <v>#7</v>
      </c>
      <c r="D125" s="42" t="str">
        <f ca="1">'Fruit Trees'!D119</f>
        <v>0.5-1"</v>
      </c>
      <c r="E125" s="42" t="str">
        <f ca="1">'Fruit Trees'!E119</f>
        <v>3-7'</v>
      </c>
      <c r="F125" s="52">
        <f ca="1">'Fruit Trees'!F119</f>
        <v>29</v>
      </c>
      <c r="G125" s="66">
        <f ca="1">'Fruit Trees'!G119*0.9</f>
        <v>90</v>
      </c>
      <c r="H125" s="51" t="str">
        <f t="shared" ca="1" si="0"/>
        <v>Persimmon - Rosseyanka #7-2021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Plum - Black Ice</v>
      </c>
      <c r="C126" s="42" t="str">
        <f ca="1">'Fruit Trees'!C120</f>
        <v>#5</v>
      </c>
      <c r="D126" s="42" t="str">
        <f ca="1">'Fruit Trees'!D120</f>
        <v>1-1.25"</v>
      </c>
      <c r="E126" s="42" t="str">
        <f ca="1">'Fruit Trees'!E120</f>
        <v>5-8'</v>
      </c>
      <c r="F126" s="52">
        <f ca="1">'Fruit Trees'!F120</f>
        <v>18</v>
      </c>
      <c r="G126" s="66">
        <f ca="1">'Fruit Trees'!G120*0.9</f>
        <v>72</v>
      </c>
      <c r="H126" s="51" t="str">
        <f t="shared" ca="1" si="0"/>
        <v>Plum - Black Ice #5-2021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Plum - Black Ice</v>
      </c>
      <c r="C127" s="42" t="str">
        <f ca="1">'Fruit Trees'!C121</f>
        <v>#7</v>
      </c>
      <c r="D127" s="42" t="str">
        <f ca="1">'Fruit Trees'!D121</f>
        <v>1-1.25"</v>
      </c>
      <c r="E127" s="42" t="str">
        <f ca="1">'Fruit Trees'!E121</f>
        <v>6-8'</v>
      </c>
      <c r="F127" s="52">
        <f ca="1">'Fruit Trees'!F121</f>
        <v>7</v>
      </c>
      <c r="G127" s="66">
        <f ca="1">'Fruit Trees'!G121*0.9</f>
        <v>72</v>
      </c>
      <c r="H127" s="51" t="str">
        <f t="shared" ca="1" si="0"/>
        <v>Plum - Black Ice #7-2021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Plum - Green Gage</v>
      </c>
      <c r="C128" s="42" t="str">
        <f ca="1">'Fruit Trees'!C122</f>
        <v>#5</v>
      </c>
      <c r="D128" s="42" t="str">
        <f ca="1">'Fruit Trees'!D122</f>
        <v>1-1.25"</v>
      </c>
      <c r="E128" s="42" t="str">
        <f ca="1">'Fruit Trees'!E122</f>
        <v>6-9'</v>
      </c>
      <c r="F128" s="52">
        <f ca="1">'Fruit Trees'!F122</f>
        <v>1</v>
      </c>
      <c r="G128" s="66">
        <f ca="1">'Fruit Trees'!G122*0.9</f>
        <v>72</v>
      </c>
      <c r="H128" s="51" t="str">
        <f t="shared" ca="1" si="0"/>
        <v>Plum - Green Gage #5-2021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Plum - Green Gage</v>
      </c>
      <c r="C129" s="42" t="str">
        <f ca="1">'Fruit Trees'!C123</f>
        <v>#7</v>
      </c>
      <c r="D129" s="42" t="str">
        <f ca="1">'Fruit Trees'!D123</f>
        <v>1.25-1.5"</v>
      </c>
      <c r="E129" s="42" t="str">
        <f ca="1">'Fruit Trees'!E123</f>
        <v>7-10'</v>
      </c>
      <c r="F129" s="52">
        <f ca="1">'Fruit Trees'!F123</f>
        <v>22</v>
      </c>
      <c r="G129" s="66">
        <f ca="1">'Fruit Trees'!G123*0.9</f>
        <v>72</v>
      </c>
      <c r="H129" s="51" t="str">
        <f t="shared" ca="1" si="0"/>
        <v>Plum - Green Gage #7-2021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Plum - Methley</v>
      </c>
      <c r="C130" s="42" t="str">
        <f ca="1">'Fruit Trees'!C124</f>
        <v>#5</v>
      </c>
      <c r="D130" s="42" t="str">
        <f ca="1">'Fruit Trees'!D124</f>
        <v>1.25-1.5"</v>
      </c>
      <c r="E130" s="42" t="str">
        <f ca="1">'Fruit Trees'!E124</f>
        <v>9-11'</v>
      </c>
      <c r="F130" s="52">
        <f ca="1">'Fruit Trees'!F124</f>
        <v>131</v>
      </c>
      <c r="G130" s="66">
        <f ca="1">'Fruit Trees'!G124*0.9</f>
        <v>49.5</v>
      </c>
      <c r="H130" s="51" t="str">
        <f t="shared" ca="1" si="0"/>
        <v>Plum - Methley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Plum - Methley</v>
      </c>
      <c r="C131" s="42" t="str">
        <f ca="1">'Fruit Trees'!C125</f>
        <v>#7</v>
      </c>
      <c r="D131" s="42" t="str">
        <f ca="1">'Fruit Trees'!D125</f>
        <v>1.5-1.75"</v>
      </c>
      <c r="E131" s="42" t="str">
        <f ca="1">'Fruit Trees'!E125</f>
        <v>10-13'</v>
      </c>
      <c r="F131" s="52">
        <f ca="1">'Fruit Trees'!F125</f>
        <v>29</v>
      </c>
      <c r="G131" s="66">
        <f ca="1">'Fruit Trees'!G125*0.9</f>
        <v>72</v>
      </c>
      <c r="H131" s="51" t="str">
        <f t="shared" ca="1" si="0"/>
        <v>Plum - Methley #7-2021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Plum - NY9</v>
      </c>
      <c r="C132" s="42" t="str">
        <f ca="1">'Fruit Trees'!C126</f>
        <v>#5</v>
      </c>
      <c r="D132" s="42" t="str">
        <f ca="1">'Fruit Trees'!D126</f>
        <v>0.75-1"</v>
      </c>
      <c r="E132" s="42" t="str">
        <f ca="1">'Fruit Trees'!E126</f>
        <v>8-10'</v>
      </c>
      <c r="F132" s="52">
        <f ca="1">'Fruit Trees'!F126</f>
        <v>36</v>
      </c>
      <c r="G132" s="66">
        <f ca="1">'Fruit Trees'!G126*0.9</f>
        <v>72</v>
      </c>
      <c r="H132" s="51" t="str">
        <f t="shared" ca="1" si="0"/>
        <v>Plum - NY9 #5-2021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Plum - NY9</v>
      </c>
      <c r="C133" s="42" t="str">
        <f ca="1">'Fruit Trees'!C127</f>
        <v>#7</v>
      </c>
      <c r="D133" s="42" t="str">
        <f ca="1">'Fruit Trees'!D127</f>
        <v>1-1.25"</v>
      </c>
      <c r="E133" s="42" t="str">
        <f ca="1">'Fruit Trees'!E127</f>
        <v>8-10'</v>
      </c>
      <c r="F133" s="52">
        <f ca="1">'Fruit Trees'!F127</f>
        <v>60</v>
      </c>
      <c r="G133" s="66">
        <f ca="1">'Fruit Trees'!G127*0.9</f>
        <v>72</v>
      </c>
      <c r="H133" s="51" t="str">
        <f t="shared" ca="1" si="0"/>
        <v>Plum - NY9 #7-2021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Raspberry - Royalty (Purple)</v>
      </c>
      <c r="C134" s="42" t="str">
        <f ca="1">'Fruit Trees'!C128</f>
        <v>#5</v>
      </c>
      <c r="D134" s="42" t="str">
        <f ca="1">'Fruit Trees'!D128</f>
        <v>Multi</v>
      </c>
      <c r="E134" s="42" t="str">
        <f ca="1">'Fruit Trees'!E128</f>
        <v>4-6.5'</v>
      </c>
      <c r="F134" s="52">
        <f ca="1">'Fruit Trees'!F128</f>
        <v>46</v>
      </c>
      <c r="G134" s="66">
        <f ca="1">'Fruit Trees'!G128*0.9</f>
        <v>31.5</v>
      </c>
      <c r="H134" s="51" t="str">
        <f t="shared" ca="1" si="0"/>
        <v>Raspberry - Royalty (Purple) #5-2021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Raspberry (Yellow) - Anne</v>
      </c>
      <c r="C135" s="42" t="str">
        <f ca="1">'Fruit Trees'!C129</f>
        <v>#5</v>
      </c>
      <c r="D135" s="42" t="str">
        <f ca="1">'Fruit Trees'!D129</f>
        <v>Multi</v>
      </c>
      <c r="E135" s="42" t="str">
        <f ca="1">'Fruit Trees'!E129</f>
        <v>3-5'</v>
      </c>
      <c r="F135" s="52">
        <f ca="1">'Fruit Trees'!F129</f>
        <v>32</v>
      </c>
      <c r="G135" s="66">
        <f ca="1">'Fruit Trees'!G129*0.9</f>
        <v>31.5</v>
      </c>
      <c r="H135" s="51" t="str">
        <f t="shared" ca="1" si="0"/>
        <v>Raspberry (Yellow) - Anne #5-2021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Russian Pomegrante - Salavatski</v>
      </c>
      <c r="C136" s="42" t="str">
        <f ca="1">'Fruit Trees'!C130</f>
        <v>#5</v>
      </c>
      <c r="D136" s="42" t="str">
        <f ca="1">'Fruit Trees'!D130</f>
        <v>Multi</v>
      </c>
      <c r="E136" s="42" t="str">
        <f ca="1">'Fruit Trees'!E130</f>
        <v>1-2'</v>
      </c>
      <c r="F136" s="52">
        <f ca="1">'Fruit Trees'!F130</f>
        <v>79</v>
      </c>
      <c r="G136" s="66">
        <f ca="1">'Fruit Trees'!G130*0.9</f>
        <v>31.5</v>
      </c>
      <c r="H136" s="51" t="str">
        <f t="shared" ca="1" si="0"/>
        <v>Russian Pomegrante - Salavatski #5-2021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Stone Fruits - Misshapen/Damaged Trees (Discounted)</v>
      </c>
      <c r="C137" s="42" t="str">
        <f ca="1">'Fruit Trees'!C131</f>
        <v>#5</v>
      </c>
      <c r="D137" s="42" t="str">
        <f ca="1">'Fruit Trees'!D131</f>
        <v>0-0"</v>
      </c>
      <c r="E137" s="42" t="str">
        <f ca="1">'Fruit Trees'!E131</f>
        <v>0-0'</v>
      </c>
      <c r="F137" s="52">
        <f ca="1">'Fruit Trees'!F131</f>
        <v>213</v>
      </c>
      <c r="G137" s="66">
        <f ca="1">'Fruit Trees'!G131*0.9</f>
        <v>27</v>
      </c>
      <c r="H137" s="51" t="str">
        <f t="shared" ca="1" si="0"/>
        <v>Stone Fruits - Misshapen/Damaged Trees (Discounted)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zx - 1.5"x1.5"x6' Stakes</v>
      </c>
      <c r="C138" s="42">
        <f>'Fruit Trees'!C132</f>
        <v>0</v>
      </c>
      <c r="D138" s="42" t="str">
        <f ca="1">'Fruit Trees'!D132</f>
        <v>0-0"</v>
      </c>
      <c r="E138" s="42" t="str">
        <f ca="1">'Fruit Trees'!E132</f>
        <v>0-0'</v>
      </c>
      <c r="F138" s="52">
        <f ca="1">'Fruit Trees'!F132</f>
        <v>863</v>
      </c>
      <c r="G138" s="66">
        <f ca="1">'Fruit Trees'!G132*0.9</f>
        <v>2.7</v>
      </c>
      <c r="H138" s="51" t="str">
        <f t="shared" ca="1" si="0"/>
        <v>zx - 1.5"x1.5"x6' Stakes 0-2021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zx - 10' Orchard Ladder (extendable leg)</v>
      </c>
      <c r="C139" s="42">
        <f>'Fruit Trees'!C133</f>
        <v>0</v>
      </c>
      <c r="D139" s="42" t="str">
        <f ca="1">'Fruit Trees'!D133</f>
        <v>0-0"</v>
      </c>
      <c r="E139" s="42" t="str">
        <f ca="1">'Fruit Trees'!E133</f>
        <v>0-0'</v>
      </c>
      <c r="F139" s="52">
        <f ca="1">'Fruit Trees'!F133</f>
        <v>14</v>
      </c>
      <c r="G139" s="66">
        <f ca="1">'Fruit Trees'!G133*0.9</f>
        <v>450</v>
      </c>
      <c r="H139" s="51" t="str">
        <f t="shared" ca="1" si="0"/>
        <v>zx - 10' Orchard Ladder (extendable leg) 0-2021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zx - 10' Orchard Ladder (fixed)</v>
      </c>
      <c r="C140" s="42">
        <f>'Fruit Trees'!C134</f>
        <v>0</v>
      </c>
      <c r="D140" s="42" t="str">
        <f ca="1">'Fruit Trees'!D134</f>
        <v>0-0"</v>
      </c>
      <c r="E140" s="42" t="str">
        <f ca="1">'Fruit Trees'!E134</f>
        <v>0-0'</v>
      </c>
      <c r="F140" s="52">
        <f ca="1">'Fruit Trees'!F134</f>
        <v>3</v>
      </c>
      <c r="G140" s="66">
        <f ca="1">'Fruit Trees'!G134*0.9</f>
        <v>391.5</v>
      </c>
      <c r="H140" s="51" t="str">
        <f t="shared" ca="1" si="0"/>
        <v>zx - 10' Orchard Ladder (fixed) 0-2021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zx - 12' Orchard Ladder (extendable leg)</v>
      </c>
      <c r="C141" s="42">
        <f>'Fruit Trees'!C135</f>
        <v>0</v>
      </c>
      <c r="D141" s="42" t="str">
        <f ca="1">'Fruit Trees'!D135</f>
        <v>0-0"</v>
      </c>
      <c r="E141" s="42" t="str">
        <f ca="1">'Fruit Trees'!E135</f>
        <v>0-0'</v>
      </c>
      <c r="F141" s="52">
        <f ca="1">'Fruit Trees'!F135</f>
        <v>2</v>
      </c>
      <c r="G141" s="66">
        <f ca="1">'Fruit Trees'!G135*0.9</f>
        <v>504</v>
      </c>
      <c r="H141" s="51" t="str">
        <f t="shared" ca="1" si="0"/>
        <v>zx - 12' Orchard Ladder (extendable leg) 0-2021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zx - 14' Orchard Ladder (extendable)</v>
      </c>
      <c r="C142" s="42">
        <f>'Fruit Trees'!C136</f>
        <v>0</v>
      </c>
      <c r="D142" s="42" t="str">
        <f ca="1">'Fruit Trees'!D136</f>
        <v>0-0"</v>
      </c>
      <c r="E142" s="42" t="str">
        <f ca="1">'Fruit Trees'!E136</f>
        <v>0-0'</v>
      </c>
      <c r="F142" s="52">
        <f ca="1">'Fruit Trees'!F136</f>
        <v>9</v>
      </c>
      <c r="G142" s="66">
        <f ca="1">'Fruit Trees'!G136*0.9</f>
        <v>558</v>
      </c>
      <c r="H142" s="51" t="str">
        <f t="shared" ca="1" si="0"/>
        <v>zx - 14' Orchard Ladder (extendable) 0-2021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zx - 16' Orchard Ladder (extendable)</v>
      </c>
      <c r="C143" s="42">
        <f>'Fruit Trees'!C137</f>
        <v>0</v>
      </c>
      <c r="D143" s="42" t="str">
        <f ca="1">'Fruit Trees'!D137</f>
        <v>0-0"</v>
      </c>
      <c r="E143" s="42" t="str">
        <f ca="1">'Fruit Trees'!E137</f>
        <v>0-0'</v>
      </c>
      <c r="F143" s="52">
        <f ca="1">'Fruit Trees'!F137</f>
        <v>1</v>
      </c>
      <c r="G143" s="66">
        <f ca="1">'Fruit Trees'!G137*0.9</f>
        <v>616.5</v>
      </c>
      <c r="H143" s="51" t="str">
        <f t="shared" ca="1" si="0"/>
        <v>zx - 16' Orchard Ladder (extendable) 0-2021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zx - 16' Orchard Ladder (fixed)</v>
      </c>
      <c r="C144" s="42">
        <f>'Fruit Trees'!C138</f>
        <v>0</v>
      </c>
      <c r="D144" s="42" t="str">
        <f ca="1">'Fruit Trees'!D138</f>
        <v>0-0"</v>
      </c>
      <c r="E144" s="42" t="str">
        <f ca="1">'Fruit Trees'!E138</f>
        <v>0-0'</v>
      </c>
      <c r="F144" s="52">
        <f ca="1">'Fruit Trees'!F138</f>
        <v>5</v>
      </c>
      <c r="G144" s="66">
        <f ca="1">'Fruit Trees'!G138*0.9</f>
        <v>540</v>
      </c>
      <c r="H144" s="51" t="str">
        <f t="shared" ca="1" si="0"/>
        <v>zx - 16' Orchard Ladder (fixed) 0-2021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zx - 4' Bark Protector</v>
      </c>
      <c r="C145" s="42">
        <f>'Fruit Trees'!C139</f>
        <v>0</v>
      </c>
      <c r="D145" s="42" t="str">
        <f ca="1">'Fruit Trees'!D139</f>
        <v>0-0"</v>
      </c>
      <c r="E145" s="42" t="str">
        <f ca="1">'Fruit Trees'!E139</f>
        <v>0-0'</v>
      </c>
      <c r="F145" s="52">
        <f ca="1">'Fruit Trees'!F139</f>
        <v>876</v>
      </c>
      <c r="G145" s="66">
        <f ca="1">'Fruit Trees'!G139*0.9</f>
        <v>9</v>
      </c>
      <c r="H145" s="51" t="str">
        <f t="shared" ca="1" si="0"/>
        <v>zx - 4' Bark Protector 0-2021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zx - 6' Orchard Ladder (extendable leg)</v>
      </c>
      <c r="C146" s="42">
        <f>'Fruit Trees'!C140</f>
        <v>0</v>
      </c>
      <c r="D146" s="42" t="str">
        <f ca="1">'Fruit Trees'!D140</f>
        <v>0-0"</v>
      </c>
      <c r="E146" s="42" t="str">
        <f ca="1">'Fruit Trees'!E140</f>
        <v>0-0'</v>
      </c>
      <c r="F146" s="52">
        <f ca="1">'Fruit Trees'!F140</f>
        <v>2</v>
      </c>
      <c r="G146" s="66">
        <f ca="1">'Fruit Trees'!G140*0.9</f>
        <v>360</v>
      </c>
      <c r="H146" s="51" t="str">
        <f t="shared" ca="1" si="0"/>
        <v>zx - 6' Orchard Ladder (extendable leg) 0-2021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zx - 8' Orchard Ladder (extendable leg)</v>
      </c>
      <c r="C147" s="42">
        <f>'Fruit Trees'!C141</f>
        <v>0</v>
      </c>
      <c r="D147" s="42" t="str">
        <f ca="1">'Fruit Trees'!D141</f>
        <v>0-0"</v>
      </c>
      <c r="E147" s="42" t="str">
        <f ca="1">'Fruit Trees'!E141</f>
        <v>0-0'</v>
      </c>
      <c r="F147" s="52">
        <f ca="1">'Fruit Trees'!F141</f>
        <v>5</v>
      </c>
      <c r="G147" s="66">
        <f ca="1">'Fruit Trees'!G141*0.9</f>
        <v>405</v>
      </c>
      <c r="H147" s="51" t="str">
        <f t="shared" ca="1" si="0"/>
        <v>zx - 8' Orchard Ladder (extendable leg) 0-2021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zx - Felco #2 Pruners</v>
      </c>
      <c r="C148" s="42">
        <f>'Fruit Trees'!C142</f>
        <v>0</v>
      </c>
      <c r="D148" s="42" t="str">
        <f ca="1">'Fruit Trees'!D142</f>
        <v>0-0"</v>
      </c>
      <c r="E148" s="42" t="str">
        <f ca="1">'Fruit Trees'!E142</f>
        <v>0-0'</v>
      </c>
      <c r="F148" s="52">
        <f ca="1">'Fruit Trees'!F142</f>
        <v>49</v>
      </c>
      <c r="G148" s="66">
        <f ca="1">'Fruit Trees'!G142*0.9</f>
        <v>58.5</v>
      </c>
      <c r="H148" s="51" t="str">
        <f t="shared" ca="1" si="0"/>
        <v>zx - Felco #2 Pruners 0-2021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zx -Cages</v>
      </c>
      <c r="C149" s="42">
        <f>'Fruit Trees'!C143</f>
        <v>0</v>
      </c>
      <c r="D149" s="42" t="str">
        <f ca="1">'Fruit Trees'!D143</f>
        <v>0-0"</v>
      </c>
      <c r="E149" s="42" t="str">
        <f ca="1">'Fruit Trees'!E143</f>
        <v>0-0'</v>
      </c>
      <c r="F149" s="52">
        <f ca="1">'Fruit Trees'!F143</f>
        <v>981</v>
      </c>
      <c r="G149" s="66">
        <f ca="1">'Fruit Trees'!G143*0.9</f>
        <v>40.5</v>
      </c>
      <c r="H149" s="51" t="str">
        <f t="shared" ca="1" si="0"/>
        <v>zx -Cages 0-2021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zx -Shade Tarp</v>
      </c>
      <c r="C150" s="42">
        <f>'Fruit Trees'!C144</f>
        <v>0</v>
      </c>
      <c r="D150" s="42" t="str">
        <f ca="1">'Fruit Trees'!D144</f>
        <v>0-0"</v>
      </c>
      <c r="E150" s="42" t="str">
        <f ca="1">'Fruit Trees'!E144</f>
        <v>0-0'</v>
      </c>
      <c r="F150" s="52">
        <f ca="1">'Fruit Trees'!F144</f>
        <v>9</v>
      </c>
      <c r="G150" s="66">
        <f ca="1">'Fruit Trees'!G144*0.9</f>
        <v>27</v>
      </c>
      <c r="H150" s="51" t="str">
        <f t="shared" ca="1" si="0"/>
        <v>zx -Shade Tarp 0-2021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12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16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31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17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'Emperor I'</v>
      </c>
      <c r="B184" s="51" t="str">
        <f ca="1">'Landscape Trees '!C6</f>
        <v>Emperor I Japanese Maple</v>
      </c>
      <c r="C184" s="42" t="str">
        <f ca="1">'Landscape Trees '!D6</f>
        <v>#5</v>
      </c>
      <c r="D184" s="42" t="str">
        <f ca="1">'Landscape Trees '!E6</f>
        <v>0.5-0.75"</v>
      </c>
      <c r="E184" s="42" t="str">
        <f ca="1">'Landscape Trees '!F6</f>
        <v>5-6'</v>
      </c>
      <c r="F184" s="52">
        <f ca="1">'Landscape Trees '!G6</f>
        <v>6</v>
      </c>
      <c r="G184" s="66">
        <f ca="1">'Landscape Trees '!H6*0.9</f>
        <v>63</v>
      </c>
      <c r="H184" s="51" t="str">
        <f t="shared" ca="1" si="0"/>
        <v>Emperor I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'Tamukeyama'</v>
      </c>
      <c r="B185" s="51" t="str">
        <f ca="1">'Landscape Trees '!C7</f>
        <v>Tamukeyama Japanese Maple</v>
      </c>
      <c r="C185" s="42" t="str">
        <f ca="1">'Landscape Trees '!D7</f>
        <v>#5</v>
      </c>
      <c r="D185" s="42" t="str">
        <f ca="1">'Landscape Trees '!E7</f>
        <v>0.25-0.75"</v>
      </c>
      <c r="E185" s="42" t="str">
        <f ca="1">'Landscape Trees '!F7</f>
        <v>3.5-4'</v>
      </c>
      <c r="F185" s="52">
        <f ca="1">'Landscape Trees '!G7</f>
        <v>8</v>
      </c>
      <c r="G185" s="66">
        <f ca="1">'Landscape Trees '!H7*0.9</f>
        <v>63</v>
      </c>
      <c r="H185" s="51" t="str">
        <f t="shared" ca="1" si="0"/>
        <v>Tamukeyama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platanoides 'Crimson King'</v>
      </c>
      <c r="B186" s="51" t="str">
        <f ca="1">'Landscape Trees '!C8</f>
        <v>Crimson King Norway Maple</v>
      </c>
      <c r="C186" s="42" t="str">
        <f ca="1">'Landscape Trees '!D8</f>
        <v>#15</v>
      </c>
      <c r="D186" s="42" t="str">
        <f ca="1">'Landscape Trees '!E8</f>
        <v>1.25-1.75"</v>
      </c>
      <c r="E186" s="42" t="str">
        <f ca="1">'Landscape Trees '!F8</f>
        <v>9-10'</v>
      </c>
      <c r="F186" s="52">
        <f ca="1">'Landscape Trees '!G8</f>
        <v>17</v>
      </c>
      <c r="G186" s="66">
        <f ca="1">'Landscape Trees '!H8*0.9</f>
        <v>121.5</v>
      </c>
      <c r="H186" s="51" t="str">
        <f t="shared" ca="1" si="0"/>
        <v>Crimson King Norway Maple #15-2021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#25</v>
      </c>
      <c r="D187" s="42" t="str">
        <f ca="1">'Landscape Trees '!E9</f>
        <v>1.75-1.75"</v>
      </c>
      <c r="E187" s="42" t="str">
        <f ca="1">'Landscape Trees '!F9</f>
        <v>13.5-13.5'</v>
      </c>
      <c r="F187" s="52">
        <f ca="1">'Landscape Trees '!G9</f>
        <v>1</v>
      </c>
      <c r="G187" s="66">
        <f ca="1">'Landscape Trees '!H9*0.9</f>
        <v>135</v>
      </c>
      <c r="H187" s="51" t="str">
        <f t="shared" ca="1" si="0"/>
        <v>Crimson King Norway Maple #25-2021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'Silver Variegated'</v>
      </c>
      <c r="B188" s="51" t="str">
        <f ca="1">'Landscape Trees '!C10</f>
        <v>Silver Variegated Norway Maple</v>
      </c>
      <c r="C188" s="42" t="str">
        <f ca="1">'Landscape Trees '!D10</f>
        <v>#15</v>
      </c>
      <c r="D188" s="42" t="str">
        <f ca="1">'Landscape Trees '!E10</f>
        <v>1.25-1.25"</v>
      </c>
      <c r="E188" s="42" t="str">
        <f ca="1">'Landscape Trees '!F10</f>
        <v>9-9'</v>
      </c>
      <c r="F188" s="52">
        <f ca="1">'Landscape Trees '!G10</f>
        <v>1</v>
      </c>
      <c r="G188" s="66">
        <f ca="1">'Landscape Trees '!H10*0.9</f>
        <v>121.5</v>
      </c>
      <c r="H188" s="51" t="str">
        <f t="shared" ca="1" si="0"/>
        <v>Silver Variegated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</v>
      </c>
      <c r="B189" s="51" t="str">
        <f ca="1">'Landscape Trees '!C11</f>
        <v>Red Maple Native</v>
      </c>
      <c r="C189" s="42" t="str">
        <f ca="1">'Landscape Trees '!D11</f>
        <v>#5</v>
      </c>
      <c r="D189" s="42" t="str">
        <f ca="1">'Landscape Trees '!E11</f>
        <v>0.25-0.75"</v>
      </c>
      <c r="E189" s="42" t="str">
        <f ca="1">'Landscape Trees '!F11</f>
        <v>3-7'</v>
      </c>
      <c r="F189" s="52">
        <f ca="1">'Landscape Trees '!G11</f>
        <v>236</v>
      </c>
      <c r="G189" s="66">
        <f ca="1">'Landscape Trees '!H11*0.9</f>
        <v>45</v>
      </c>
      <c r="H189" s="51" t="str">
        <f t="shared" ca="1" si="0"/>
        <v>Red Maple Native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Cultivar</v>
      </c>
      <c r="C190" s="42" t="str">
        <f ca="1">'Landscape Trees '!D12</f>
        <v>#15</v>
      </c>
      <c r="D190" s="42" t="str">
        <f ca="1">'Landscape Trees '!E12</f>
        <v>1-1.5"</v>
      </c>
      <c r="E190" s="42" t="str">
        <f ca="1">'Landscape Trees '!F12</f>
        <v>8-12'</v>
      </c>
      <c r="F190" s="52">
        <f ca="1">'Landscape Trees '!G12</f>
        <v>38</v>
      </c>
      <c r="G190" s="66">
        <f ca="1">'Landscape Trees '!H12*0.9</f>
        <v>121.5</v>
      </c>
      <c r="H190" s="51" t="str">
        <f t="shared" ca="1" si="0"/>
        <v>Red Maple Cultivar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 xml:space="preserve">Acer rubrum </v>
      </c>
      <c r="B191" s="51" t="str">
        <f ca="1">'Landscape Trees '!C13</f>
        <v>Red Maple Cultivar</v>
      </c>
      <c r="C191" s="42" t="str">
        <f ca="1">'Landscape Trees '!D13</f>
        <v>#5</v>
      </c>
      <c r="D191" s="42" t="str">
        <f ca="1">'Landscape Trees '!E13</f>
        <v>0.5-0.75"</v>
      </c>
      <c r="E191" s="42" t="str">
        <f ca="1">'Landscape Trees '!F13</f>
        <v>4-6'</v>
      </c>
      <c r="F191" s="52">
        <f ca="1">'Landscape Trees '!G13</f>
        <v>21</v>
      </c>
      <c r="G191" s="66">
        <f ca="1">'Landscape Trees '!H13*0.9</f>
        <v>45</v>
      </c>
      <c r="H191" s="51" t="str">
        <f t="shared" ca="1" si="0"/>
        <v>Red Maple Cultivar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 'Armstrong'</v>
      </c>
      <c r="B192" s="51" t="str">
        <f ca="1">'Landscape Trees '!C14</f>
        <v>Armstrong Red Maple</v>
      </c>
      <c r="C192" s="42" t="str">
        <f ca="1">'Landscape Trees '!D14</f>
        <v>#15</v>
      </c>
      <c r="D192" s="42" t="str">
        <f ca="1">'Landscape Trees '!E14</f>
        <v>1.5-1.75"</v>
      </c>
      <c r="E192" s="42" t="str">
        <f ca="1">'Landscape Trees '!F14</f>
        <v>12-14'</v>
      </c>
      <c r="F192" s="52">
        <f ca="1">'Landscape Trees '!G14</f>
        <v>8</v>
      </c>
      <c r="G192" s="66">
        <f ca="1">'Landscape Trees '!H14*0.9</f>
        <v>121.5</v>
      </c>
      <c r="H192" s="51" t="str">
        <f t="shared" ca="1" si="0"/>
        <v>Armstrong Red Maple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#5</v>
      </c>
      <c r="D193" s="42" t="str">
        <f ca="1">'Landscape Trees '!E15</f>
        <v>0.25-0.5"</v>
      </c>
      <c r="E193" s="42" t="str">
        <f ca="1">'Landscape Trees '!F15</f>
        <v>3-5'</v>
      </c>
      <c r="F193" s="52">
        <f ca="1">'Landscape Trees '!G15</f>
        <v>1</v>
      </c>
      <c r="G193" s="66">
        <f ca="1">'Landscape Trees '!H15*0.9</f>
        <v>45</v>
      </c>
      <c r="H193" s="51" t="str">
        <f t="shared" ca="1" si="0"/>
        <v>Armstrong Red Maple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saccharinum</v>
      </c>
      <c r="B194" s="51" t="str">
        <f ca="1">'Landscape Trees '!C16</f>
        <v>Silver Maple</v>
      </c>
      <c r="C194" s="42" t="str">
        <f ca="1">'Landscape Trees '!D16</f>
        <v>#5</v>
      </c>
      <c r="D194" s="42" t="str">
        <f ca="1">'Landscape Trees '!E16</f>
        <v>0.75-1.5"</v>
      </c>
      <c r="E194" s="42" t="str">
        <f ca="1">'Landscape Trees '!F16</f>
        <v>7-11'</v>
      </c>
      <c r="F194" s="52">
        <f ca="1">'Landscape Trees '!G16</f>
        <v>42</v>
      </c>
      <c r="G194" s="66">
        <f ca="1">'Landscape Trees '!H16*0.9</f>
        <v>45</v>
      </c>
      <c r="H194" s="51" t="str">
        <f t="shared" ca="1" si="0"/>
        <v>Silver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</v>
      </c>
      <c r="B195" s="51" t="str">
        <f ca="1">'Landscape Trees '!C17</f>
        <v>Sugar Maple</v>
      </c>
      <c r="C195" s="42" t="str">
        <f ca="1">'Landscape Trees '!D17</f>
        <v>#15</v>
      </c>
      <c r="D195" s="42" t="str">
        <f ca="1">'Landscape Trees '!E17</f>
        <v>1-1.25"</v>
      </c>
      <c r="E195" s="42" t="str">
        <f ca="1">'Landscape Trees '!F17</f>
        <v>10-12'</v>
      </c>
      <c r="F195" s="52">
        <f ca="1">'Landscape Trees '!G17</f>
        <v>8</v>
      </c>
      <c r="G195" s="66">
        <f ca="1">'Landscape Trees '!H17*0.9</f>
        <v>121.5</v>
      </c>
      <c r="H195" s="51" t="str">
        <f t="shared" ca="1" si="0"/>
        <v>Sugar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 'Bailsta'</v>
      </c>
      <c r="B196" s="51" t="str">
        <f ca="1">'Landscape Trees '!C18</f>
        <v>Fall Fiesta Sugar Maple</v>
      </c>
      <c r="C196" s="42" t="str">
        <f ca="1">'Landscape Trees '!D18</f>
        <v>#15</v>
      </c>
      <c r="D196" s="42" t="str">
        <f ca="1">'Landscape Trees '!E18</f>
        <v>1-1.75"</v>
      </c>
      <c r="E196" s="42" t="str">
        <f ca="1">'Landscape Trees '!F18</f>
        <v>10-13'</v>
      </c>
      <c r="F196" s="52">
        <f ca="1">'Landscape Trees '!G18</f>
        <v>34</v>
      </c>
      <c r="G196" s="66">
        <f ca="1">'Landscape Trees '!H18*0.9</f>
        <v>121.5</v>
      </c>
      <c r="H196" s="51" t="str">
        <f t="shared" ca="1" si="0"/>
        <v>Fall Fiesta Sugar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'Bailsta'</v>
      </c>
      <c r="B197" s="51" t="str">
        <f ca="1">'Landscape Trees '!C19</f>
        <v>Fall Fiesta Sugar Maple</v>
      </c>
      <c r="C197" s="42" t="str">
        <f ca="1">'Landscape Trees '!D19</f>
        <v>#25</v>
      </c>
      <c r="D197" s="42" t="str">
        <f ca="1">'Landscape Trees '!E19</f>
        <v>1.25-1.75"</v>
      </c>
      <c r="E197" s="42" t="str">
        <f ca="1">'Landscape Trees '!F19</f>
        <v>11-14'</v>
      </c>
      <c r="F197" s="52">
        <f ca="1">'Landscape Trees '!G19</f>
        <v>15</v>
      </c>
      <c r="G197" s="66">
        <f ca="1">'Landscape Trees '!H19*0.9</f>
        <v>135</v>
      </c>
      <c r="H197" s="51" t="str">
        <f t="shared" ca="1" si="0"/>
        <v>Fall Fiesta Sugar Maple #25-2021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'Green Mountain'</v>
      </c>
      <c r="B198" s="51" t="str">
        <f ca="1">'Landscape Trees '!C20</f>
        <v>Green Mountain Sugar Maple</v>
      </c>
      <c r="C198" s="42" t="str">
        <f ca="1">'Landscape Trees '!D20</f>
        <v>#15</v>
      </c>
      <c r="D198" s="42" t="str">
        <f ca="1">'Landscape Trees '!E20</f>
        <v>1.25-1.5"</v>
      </c>
      <c r="E198" s="42" t="str">
        <f ca="1">'Landscape Trees '!F20</f>
        <v>12-12'</v>
      </c>
      <c r="F198" s="52">
        <f ca="1">'Landscape Trees '!G20</f>
        <v>4</v>
      </c>
      <c r="G198" s="66">
        <f ca="1">'Landscape Trees '!H20*0.9</f>
        <v>121.5</v>
      </c>
      <c r="H198" s="51" t="str">
        <f t="shared" ca="1" si="0"/>
        <v>Green Mountain Sugar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tataricum 'Hot Wings'</v>
      </c>
      <c r="B199" s="51" t="str">
        <f ca="1">'Landscape Trees '!C21</f>
        <v>Hot Wings Maple</v>
      </c>
      <c r="C199" s="42" t="str">
        <f ca="1">'Landscape Trees '!D21</f>
        <v>#15</v>
      </c>
      <c r="D199" s="42" t="str">
        <f ca="1">'Landscape Trees '!E21</f>
        <v>1-1.5"</v>
      </c>
      <c r="E199" s="42" t="str">
        <f ca="1">'Landscape Trees '!F21</f>
        <v>9-12'</v>
      </c>
      <c r="F199" s="52">
        <f ca="1">'Landscape Trees '!G21</f>
        <v>7</v>
      </c>
      <c r="G199" s="66">
        <f ca="1">'Landscape Trees '!H21*0.9</f>
        <v>121.5</v>
      </c>
      <c r="H199" s="51" t="str">
        <f t="shared" ca="1" si="0"/>
        <v>Hot Wings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tataricum 'Hot Wings'</v>
      </c>
      <c r="B200" s="51" t="str">
        <f ca="1">'Landscape Trees '!C22</f>
        <v>Hot Wings Maple</v>
      </c>
      <c r="C200" s="42" t="str">
        <f ca="1">'Landscape Trees '!D22</f>
        <v>#25</v>
      </c>
      <c r="D200" s="42" t="str">
        <f ca="1">'Landscape Trees '!E22</f>
        <v>1.75-1.75"</v>
      </c>
      <c r="E200" s="42" t="str">
        <f ca="1">'Landscape Trees '!F22</f>
        <v>11-12'</v>
      </c>
      <c r="F200" s="52">
        <f ca="1">'Landscape Trees '!G22</f>
        <v>3</v>
      </c>
      <c r="G200" s="66">
        <f ca="1">'Landscape Trees '!H22*0.9</f>
        <v>135</v>
      </c>
      <c r="H200" s="51" t="str">
        <f t="shared" ca="1" si="0"/>
        <v>Hot Wings Maple #25-2021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x freemanii</v>
      </c>
      <c r="B201" s="51" t="str">
        <f ca="1">'Landscape Trees '!C23</f>
        <v>Autumn Blaze Maple</v>
      </c>
      <c r="C201" s="42" t="str">
        <f ca="1">'Landscape Trees '!D23</f>
        <v>#10</v>
      </c>
      <c r="D201" s="42" t="str">
        <f ca="1">'Landscape Trees '!E23</f>
        <v>1-1"</v>
      </c>
      <c r="E201" s="42" t="str">
        <f ca="1">'Landscape Trees '!F23</f>
        <v>8-9'</v>
      </c>
      <c r="F201" s="52">
        <f ca="1">'Landscape Trees '!G23</f>
        <v>1</v>
      </c>
      <c r="G201" s="66">
        <f ca="1">'Landscape Trees '!H23*0.9</f>
        <v>90</v>
      </c>
      <c r="H201" s="51" t="str">
        <f t="shared" ca="1" si="0"/>
        <v>Autumn Blaze Maple #10-2021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x freemanii</v>
      </c>
      <c r="B202" s="51" t="str">
        <f ca="1">'Landscape Trees '!C24</f>
        <v>Autumn Blaze Maple</v>
      </c>
      <c r="C202" s="42" t="str">
        <f ca="1">'Landscape Trees '!D24</f>
        <v>#15</v>
      </c>
      <c r="D202" s="42" t="str">
        <f ca="1">'Landscape Trees '!E24</f>
        <v>1.25-1.25"</v>
      </c>
      <c r="E202" s="42" t="str">
        <f ca="1">'Landscape Trees '!F24</f>
        <v>10-11'</v>
      </c>
      <c r="F202" s="52">
        <f ca="1">'Landscape Trees '!G24</f>
        <v>1</v>
      </c>
      <c r="G202" s="66">
        <f ca="1">'Landscape Trees '!H24*0.9</f>
        <v>121.5</v>
      </c>
      <c r="H202" s="51" t="str">
        <f t="shared" ca="1" si="0"/>
        <v>Autumn Blaze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Acer x freemanii 'Bailston'</v>
      </c>
      <c r="B203" s="51" t="str">
        <f ca="1">'Landscape Trees '!C25</f>
        <v>Matador Maple</v>
      </c>
      <c r="C203" s="42" t="str">
        <f ca="1">'Landscape Trees '!D25</f>
        <v>#15</v>
      </c>
      <c r="D203" s="42" t="str">
        <f ca="1">'Landscape Trees '!E25</f>
        <v>1.25-1.25"</v>
      </c>
      <c r="E203" s="42" t="str">
        <f ca="1">'Landscape Trees '!F25</f>
        <v>11-12'</v>
      </c>
      <c r="F203" s="52">
        <f ca="1">'Landscape Trees '!G25</f>
        <v>4</v>
      </c>
      <c r="G203" s="66">
        <f ca="1">'Landscape Trees '!H25*0.9</f>
        <v>121.5</v>
      </c>
      <c r="H203" s="51" t="str">
        <f t="shared" ca="1" si="0"/>
        <v>Matador Maple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Aesculus carnea 'Ft. McNair'</v>
      </c>
      <c r="B204" s="51" t="str">
        <f ca="1">'Landscape Trees '!C26</f>
        <v>Ft. McNair Horsechestnut</v>
      </c>
      <c r="C204" s="42" t="str">
        <f ca="1">'Landscape Trees '!D26</f>
        <v>#15</v>
      </c>
      <c r="D204" s="42" t="str">
        <f ca="1">'Landscape Trees '!E26</f>
        <v>1-1.25"</v>
      </c>
      <c r="E204" s="42" t="str">
        <f ca="1">'Landscape Trees '!F26</f>
        <v>7-9'</v>
      </c>
      <c r="F204" s="52">
        <f ca="1">'Landscape Trees '!G26</f>
        <v>6</v>
      </c>
      <c r="G204" s="66">
        <f ca="1">'Landscape Trees '!H26*0.9</f>
        <v>121.5</v>
      </c>
      <c r="H204" s="51" t="str">
        <f t="shared" ca="1" si="0"/>
        <v>Ft. McNair Horsechestnut #15-2021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Aesculus flava</v>
      </c>
      <c r="B205" s="51" t="str">
        <f ca="1">'Landscape Trees '!C27</f>
        <v>Yellow Buckeye</v>
      </c>
      <c r="C205" s="42" t="str">
        <f ca="1">'Landscape Trees '!D27</f>
        <v>#5</v>
      </c>
      <c r="D205" s="42" t="str">
        <f ca="1">'Landscape Trees '!E27</f>
        <v>0.5-0.75"</v>
      </c>
      <c r="E205" s="42" t="str">
        <f ca="1">'Landscape Trees '!F27</f>
        <v>1-2'</v>
      </c>
      <c r="F205" s="52">
        <f ca="1">'Landscape Trees '!G27</f>
        <v>4</v>
      </c>
      <c r="G205" s="66">
        <f ca="1">'Landscape Trees '!H27*0.9</f>
        <v>45</v>
      </c>
      <c r="H205" s="51" t="str">
        <f t="shared" ca="1" si="0"/>
        <v>Yellow Buckeye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Aesculus parviflora</v>
      </c>
      <c r="B206" s="51" t="str">
        <f ca="1">'Landscape Trees '!C28</f>
        <v>Bottlebrush Buckeye</v>
      </c>
      <c r="C206" s="42" t="str">
        <f ca="1">'Landscape Trees '!D28</f>
        <v>#5</v>
      </c>
      <c r="D206" s="42" t="str">
        <f ca="1">'Landscape Trees '!E28</f>
        <v>Multi</v>
      </c>
      <c r="E206" s="42" t="str">
        <f ca="1">'Landscape Trees '!F28</f>
        <v>3-5'</v>
      </c>
      <c r="F206" s="52">
        <f ca="1">'Landscape Trees '!G28</f>
        <v>43</v>
      </c>
      <c r="G206" s="66">
        <f ca="1">'Landscape Trees '!H28*0.9</f>
        <v>45</v>
      </c>
      <c r="H206" s="51" t="str">
        <f t="shared" ca="1" si="0"/>
        <v>Bottlebrush Buckeye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Albizia julibrissin 'E.H.Wilson'</v>
      </c>
      <c r="B207" s="51" t="str">
        <f ca="1">'Landscape Trees '!C29</f>
        <v>Cold Hardy Mimosa</v>
      </c>
      <c r="C207" s="42" t="str">
        <f ca="1">'Landscape Trees '!D29</f>
        <v>#5</v>
      </c>
      <c r="D207" s="42" t="str">
        <f ca="1">'Landscape Trees '!E29</f>
        <v>1-1.25"</v>
      </c>
      <c r="E207" s="42" t="str">
        <f ca="1">'Landscape Trees '!F29</f>
        <v>6-8'</v>
      </c>
      <c r="F207" s="52">
        <f ca="1">'Landscape Trees '!G29</f>
        <v>9</v>
      </c>
      <c r="G207" s="66">
        <f ca="1">'Landscape Trees '!H29*0.9</f>
        <v>45</v>
      </c>
      <c r="H207" s="51" t="str">
        <f t="shared" ca="1" si="0"/>
        <v>Cold Hardy Mimosa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Amelanchier canadensis</v>
      </c>
      <c r="B208" s="51" t="str">
        <f ca="1">'Landscape Trees '!C30</f>
        <v>Canadensis Serviceberry</v>
      </c>
      <c r="C208" s="42" t="str">
        <f ca="1">'Landscape Trees '!D30</f>
        <v>#5</v>
      </c>
      <c r="D208" s="42" t="str">
        <f ca="1">'Landscape Trees '!E30</f>
        <v>Multi</v>
      </c>
      <c r="E208" s="42" t="str">
        <f ca="1">'Landscape Trees '!F30</f>
        <v>4-5'</v>
      </c>
      <c r="F208" s="52">
        <f ca="1">'Landscape Trees '!G30</f>
        <v>156</v>
      </c>
      <c r="G208" s="66">
        <f ca="1">'Landscape Trees '!H30*0.9</f>
        <v>45</v>
      </c>
      <c r="H208" s="51" t="str">
        <f t="shared" ca="1" si="0"/>
        <v>Canadensis Serviceberry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Amelanchier grandiflora 'Autumn Brilliance'</v>
      </c>
      <c r="B209" s="51" t="str">
        <f ca="1">'Landscape Trees '!C31</f>
        <v>Autumn Brilliance Serviceberry</v>
      </c>
      <c r="C209" s="42" t="str">
        <f ca="1">'Landscape Trees '!D31</f>
        <v>#5</v>
      </c>
      <c r="D209" s="42" t="str">
        <f ca="1">'Landscape Trees '!E31</f>
        <v>Multi</v>
      </c>
      <c r="E209" s="42" t="str">
        <f ca="1">'Landscape Trees '!F31</f>
        <v>4.5-6'</v>
      </c>
      <c r="F209" s="52">
        <f ca="1">'Landscape Trees '!G31</f>
        <v>25</v>
      </c>
      <c r="G209" s="66">
        <f ca="1">'Landscape Trees '!H31*0.9</f>
        <v>45</v>
      </c>
      <c r="H209" s="51" t="str">
        <f t="shared" ca="1" si="0"/>
        <v>Autumn Brilliance Serviceberry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Amelanchier grandiflora 'Autumn Brilliance'</v>
      </c>
      <c r="B210" s="51" t="str">
        <f ca="1">'Landscape Trees '!C32</f>
        <v>Autumn Brilliance Serviceberry</v>
      </c>
      <c r="C210" s="42" t="str">
        <f ca="1">'Landscape Trees '!D32</f>
        <v>#10</v>
      </c>
      <c r="D210" s="42" t="str">
        <f ca="1">'Landscape Trees '!E32</f>
        <v>Multi</v>
      </c>
      <c r="E210" s="42" t="str">
        <f ca="1">'Landscape Trees '!F32</f>
        <v>6-7'</v>
      </c>
      <c r="F210" s="52">
        <f ca="1">'Landscape Trees '!G32</f>
        <v>6</v>
      </c>
      <c r="G210" s="66">
        <f ca="1">'Landscape Trees '!H32*0.9</f>
        <v>90</v>
      </c>
      <c r="H210" s="51" t="str">
        <f t="shared" ca="1" si="0"/>
        <v>Autumn Brilliance Serviceberry #10-2021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laevis</v>
      </c>
      <c r="B211" s="51" t="str">
        <f ca="1">'Landscape Trees '!C33</f>
        <v>Allegheny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4-10'</v>
      </c>
      <c r="F211" s="52">
        <f ca="1">'Landscape Trees '!G33</f>
        <v>292</v>
      </c>
      <c r="G211" s="66">
        <f ca="1">'Landscape Trees '!H33*0.9</f>
        <v>45</v>
      </c>
      <c r="H211" s="51" t="str">
        <f t="shared" ca="1" si="0"/>
        <v>Allegheny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lamarckii</v>
      </c>
      <c r="B212" s="51" t="str">
        <f ca="1">'Landscape Trees '!C34</f>
        <v>Lamarckii Serviceberry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3-10'</v>
      </c>
      <c r="F212" s="52">
        <f ca="1">'Landscape Trees '!G34</f>
        <v>68</v>
      </c>
      <c r="G212" s="66">
        <f ca="1">'Landscape Trees '!H34*0.9</f>
        <v>45</v>
      </c>
      <c r="H212" s="51" t="str">
        <f t="shared" ca="1" si="0"/>
        <v>Lamarckii Serviceberry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Aronia arbutifolia</v>
      </c>
      <c r="B213" s="51" t="str">
        <f ca="1">'Landscape Trees '!C35</f>
        <v>Red Chokeberry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3-4.5'</v>
      </c>
      <c r="F213" s="52">
        <f ca="1">'Landscape Trees '!G35</f>
        <v>25</v>
      </c>
      <c r="G213" s="66">
        <f ca="1">'Landscape Trees '!H35*0.9</f>
        <v>33.300000000000004</v>
      </c>
      <c r="H213" s="51" t="str">
        <f t="shared" ca="1" si="0"/>
        <v>Red Chokeberry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Asimina triloba</v>
      </c>
      <c r="B214" s="51" t="str">
        <f ca="1">'Landscape Trees '!C36</f>
        <v>Pawpaw</v>
      </c>
      <c r="C214" s="42" t="str">
        <f ca="1">'Landscape Trees '!D36</f>
        <v>#5</v>
      </c>
      <c r="D214" s="42" t="str">
        <f ca="1">'Landscape Trees '!E36</f>
        <v>0.25-0.5"</v>
      </c>
      <c r="E214" s="42" t="str">
        <f ca="1">'Landscape Trees '!F36</f>
        <v>1-4'</v>
      </c>
      <c r="F214" s="52">
        <f ca="1">'Landscape Trees '!G36</f>
        <v>69</v>
      </c>
      <c r="G214" s="66">
        <f ca="1">'Landscape Trees '!H36*0.9</f>
        <v>45</v>
      </c>
      <c r="H214" s="51" t="str">
        <f t="shared" ca="1" si="0"/>
        <v>Pawpaw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Betula nigra 'Heritage'</v>
      </c>
      <c r="B215" s="51" t="str">
        <f ca="1">'Landscape Trees '!C37</f>
        <v>Heritage River Birch</v>
      </c>
      <c r="C215" s="42" t="str">
        <f ca="1">'Landscape Trees '!D37</f>
        <v>#5</v>
      </c>
      <c r="D215" s="42" t="str">
        <f ca="1">'Landscape Trees '!E37</f>
        <v>0.5-0.75"</v>
      </c>
      <c r="E215" s="42" t="str">
        <f ca="1">'Landscape Trees '!F37</f>
        <v>5-7'</v>
      </c>
      <c r="F215" s="52">
        <f ca="1">'Landscape Trees '!G37</f>
        <v>173</v>
      </c>
      <c r="G215" s="53">
        <f ca="1">'Landscape Trees '!H37*0.9</f>
        <v>45</v>
      </c>
      <c r="H215" s="51" t="str">
        <f t="shared" ca="1" si="0"/>
        <v>Heritage River Birch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Betula nigra 'Heritage'</v>
      </c>
      <c r="B216" s="51" t="str">
        <f ca="1">'Landscape Trees '!C38</f>
        <v>Clump Heritage River Birch</v>
      </c>
      <c r="C216" s="42" t="str">
        <f ca="1">'Landscape Trees '!D38</f>
        <v>#15</v>
      </c>
      <c r="D216" s="42" t="str">
        <f ca="1">'Landscape Trees '!E38</f>
        <v>Multi</v>
      </c>
      <c r="E216" s="42" t="str">
        <f ca="1">'Landscape Trees '!F38</f>
        <v>8-9.5'</v>
      </c>
      <c r="F216" s="52">
        <f ca="1">'Landscape Trees '!G38</f>
        <v>5</v>
      </c>
      <c r="G216" s="53">
        <f ca="1">'Landscape Trees '!H38*0.9</f>
        <v>121.5</v>
      </c>
      <c r="H216" s="51" t="str">
        <f t="shared" ca="1" si="0"/>
        <v>Clump Heritage River Birch #15-2021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Calycanthus floridus</v>
      </c>
      <c r="B217" s="51" t="str">
        <f ca="1">'Landscape Trees '!C39</f>
        <v>Carolina Allspice</v>
      </c>
      <c r="C217" s="42" t="str">
        <f ca="1">'Landscape Trees '!D39</f>
        <v>#5</v>
      </c>
      <c r="D217" s="42" t="str">
        <f ca="1">'Landscape Trees '!E39</f>
        <v>Multi</v>
      </c>
      <c r="E217" s="42" t="str">
        <f ca="1">'Landscape Trees '!F39</f>
        <v>2.5-3.5'</v>
      </c>
      <c r="F217" s="52">
        <f ca="1">'Landscape Trees '!G39</f>
        <v>1</v>
      </c>
      <c r="G217" s="53">
        <f ca="1">'Landscape Trees '!H39*0.9</f>
        <v>33.300000000000004</v>
      </c>
      <c r="H217" s="51" t="str">
        <f t="shared" ca="1" si="0"/>
        <v>Carolina Allspice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Carpinus betulus 'Frans Fontaine'</v>
      </c>
      <c r="B218" s="51" t="str">
        <f ca="1">'Landscape Trees '!C40</f>
        <v>Frans Fontaine European Hornbeam</v>
      </c>
      <c r="C218" s="42" t="str">
        <f ca="1">'Landscape Trees '!D40</f>
        <v>#7</v>
      </c>
      <c r="D218" s="42" t="str">
        <f ca="1">'Landscape Trees '!E40</f>
        <v>0.5-0.75"</v>
      </c>
      <c r="E218" s="42" t="str">
        <f ca="1">'Landscape Trees '!F40</f>
        <v>5-6'</v>
      </c>
      <c r="F218" s="52">
        <f ca="1">'Landscape Trees '!G40</f>
        <v>7</v>
      </c>
      <c r="G218" s="66">
        <f ca="1">'Landscape Trees '!H40*0.9</f>
        <v>90</v>
      </c>
      <c r="H218" s="51" t="str">
        <f t="shared" ca="1" si="0"/>
        <v>Frans Fontaine European Hornbeam #7-2021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Carpinus caroliniana</v>
      </c>
      <c r="B219" s="51" t="str">
        <f ca="1">'Landscape Trees '!C41</f>
        <v>American Hornbeam</v>
      </c>
      <c r="C219" s="42" t="str">
        <f ca="1">'Landscape Trees '!D41</f>
        <v>#5</v>
      </c>
      <c r="D219" s="42" t="str">
        <f ca="1">'Landscape Trees '!E41</f>
        <v>0.75-1.25"</v>
      </c>
      <c r="E219" s="42" t="str">
        <f ca="1">'Landscape Trees '!F41</f>
        <v>5-10'</v>
      </c>
      <c r="F219" s="52">
        <f ca="1">'Landscape Trees '!G41</f>
        <v>200</v>
      </c>
      <c r="G219" s="66">
        <f ca="1">'Landscape Trees '!H41*0.9</f>
        <v>45</v>
      </c>
      <c r="H219" s="51" t="str">
        <f t="shared" ca="1" si="0"/>
        <v>American Hornbeam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Carpinus caroliniana</v>
      </c>
      <c r="B220" s="51" t="str">
        <f ca="1">'Landscape Trees '!C42</f>
        <v>American Hornbeam</v>
      </c>
      <c r="C220" s="42" t="str">
        <f ca="1">'Landscape Trees '!D42</f>
        <v>#7</v>
      </c>
      <c r="D220" s="42" t="str">
        <f ca="1">'Landscape Trees '!E42</f>
        <v>0.75-1.25"</v>
      </c>
      <c r="E220" s="42" t="str">
        <f ca="1">'Landscape Trees '!F42</f>
        <v>6-8'</v>
      </c>
      <c r="F220" s="52">
        <f ca="1">'Landscape Trees '!G42</f>
        <v>58</v>
      </c>
      <c r="G220" s="66">
        <f ca="1">'Landscape Trees '!H42*0.9</f>
        <v>63</v>
      </c>
      <c r="H220" s="51" t="str">
        <f t="shared" ca="1" si="0"/>
        <v>American Hornbeam #7-2021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Carpinus caroliniana</v>
      </c>
      <c r="B221" s="51" t="str">
        <f ca="1">'Landscape Trees '!C43</f>
        <v>American Hornbeam</v>
      </c>
      <c r="C221" s="42" t="str">
        <f ca="1">'Landscape Trees '!D43</f>
        <v>#15</v>
      </c>
      <c r="D221" s="42" t="str">
        <f ca="1">'Landscape Trees '!E43</f>
        <v>1-1.25"</v>
      </c>
      <c r="E221" s="42" t="str">
        <f ca="1">'Landscape Trees '!F43</f>
        <v>9-10'</v>
      </c>
      <c r="F221" s="52">
        <f ca="1">'Landscape Trees '!G43</f>
        <v>6</v>
      </c>
      <c r="G221" s="66">
        <f ca="1">'Landscape Trees '!H43*0.9</f>
        <v>121.5</v>
      </c>
      <c r="H221" s="51" t="str">
        <f t="shared" ca="1" si="0"/>
        <v>American Hornbeam #15-2021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Catalpa bignonioides</v>
      </c>
      <c r="B222" s="51" t="str">
        <f ca="1">'Landscape Trees '!C44</f>
        <v>Southern Catalpa</v>
      </c>
      <c r="C222" s="42" t="str">
        <f ca="1">'Landscape Trees '!D44</f>
        <v>#5</v>
      </c>
      <c r="D222" s="42" t="str">
        <f ca="1">'Landscape Trees '!E44</f>
        <v>0.75-1.5"</v>
      </c>
      <c r="E222" s="42" t="str">
        <f ca="1">'Landscape Trees '!F44</f>
        <v>3-7'</v>
      </c>
      <c r="F222" s="52">
        <f ca="1">'Landscape Trees '!G44</f>
        <v>5</v>
      </c>
      <c r="G222" s="66">
        <f ca="1">'Landscape Trees '!H44*0.9</f>
        <v>45</v>
      </c>
      <c r="H222" s="51" t="str">
        <f t="shared" ca="1" si="0"/>
        <v>Southern Catalpa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Catalpa speciosa</v>
      </c>
      <c r="B223" s="51" t="str">
        <f ca="1">'Landscape Trees '!C45</f>
        <v>Northern Catalpa</v>
      </c>
      <c r="C223" s="42" t="str">
        <f ca="1">'Landscape Trees '!D45</f>
        <v>#5</v>
      </c>
      <c r="D223" s="42" t="str">
        <f ca="1">'Landscape Trees '!E45</f>
        <v>1.25-1.25"</v>
      </c>
      <c r="E223" s="42" t="str">
        <f ca="1">'Landscape Trees '!F45</f>
        <v>7-7'</v>
      </c>
      <c r="F223" s="52">
        <f ca="1">'Landscape Trees '!G45</f>
        <v>1</v>
      </c>
      <c r="G223" s="66">
        <f ca="1">'Landscape Trees '!H45*0.9</f>
        <v>45</v>
      </c>
      <c r="H223" s="51" t="str">
        <f t="shared" ca="1" si="0"/>
        <v>Northern Catalpa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Catalpa speciosa</v>
      </c>
      <c r="B224" s="51" t="str">
        <f ca="1">'Landscape Trees '!C46</f>
        <v>Northern Catalpa</v>
      </c>
      <c r="C224" s="42" t="str">
        <f ca="1">'Landscape Trees '!D46</f>
        <v>#15</v>
      </c>
      <c r="D224" s="42" t="str">
        <f ca="1">'Landscape Trees '!E46</f>
        <v>2-2.25"</v>
      </c>
      <c r="E224" s="42" t="str">
        <f ca="1">'Landscape Trees '!F46</f>
        <v>10-11'</v>
      </c>
      <c r="F224" s="52">
        <f ca="1">'Landscape Trees '!G46</f>
        <v>3</v>
      </c>
      <c r="G224" s="66">
        <f ca="1">'Landscape Trees '!H46*0.9</f>
        <v>121.5</v>
      </c>
      <c r="H224" s="51" t="str">
        <f t="shared" ca="1" si="0"/>
        <v>Northern Catalpa #15-2021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Celtis laevigata</v>
      </c>
      <c r="B225" s="51" t="str">
        <f ca="1">'Landscape Trees '!C47</f>
        <v>Sugarberry</v>
      </c>
      <c r="C225" s="42" t="str">
        <f ca="1">'Landscape Trees '!D47</f>
        <v>#5</v>
      </c>
      <c r="D225" s="42" t="str">
        <f ca="1">'Landscape Trees '!E47</f>
        <v>0.5-1.25"</v>
      </c>
      <c r="E225" s="42" t="str">
        <f ca="1">'Landscape Trees '!F47</f>
        <v>4-9'</v>
      </c>
      <c r="F225" s="52">
        <f ca="1">'Landscape Trees '!G47</f>
        <v>73</v>
      </c>
      <c r="G225" s="66">
        <f ca="1">'Landscape Trees '!H47*0.9</f>
        <v>45</v>
      </c>
      <c r="H225" s="51" t="str">
        <f t="shared" ca="1" si="0"/>
        <v>Sugarberry #5-2021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Celtis occidentalis</v>
      </c>
      <c r="B226" s="51" t="str">
        <f ca="1">'Landscape Trees '!C48</f>
        <v>Hackberry</v>
      </c>
      <c r="C226" s="42" t="str">
        <f ca="1">'Landscape Trees '!D48</f>
        <v>#5</v>
      </c>
      <c r="D226" s="42" t="str">
        <f ca="1">'Landscape Trees '!E48</f>
        <v>0.75-1.25"</v>
      </c>
      <c r="E226" s="42" t="str">
        <f ca="1">'Landscape Trees '!F48</f>
        <v>5-11'</v>
      </c>
      <c r="F226" s="52">
        <f ca="1">'Landscape Trees '!G48</f>
        <v>257</v>
      </c>
      <c r="G226" s="66">
        <f ca="1">'Landscape Trees '!H48*0.9</f>
        <v>45</v>
      </c>
      <c r="H226" s="51" t="str">
        <f t="shared" ca="1" si="0"/>
        <v>Hackberry #5-2021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Celtis occidentalis 'Ultra'</v>
      </c>
      <c r="B227" s="51" t="str">
        <f ca="1">'Landscape Trees '!C49</f>
        <v>Ultra Hackberry (Discounted)</v>
      </c>
      <c r="C227" s="42" t="str">
        <f ca="1">'Landscape Trees '!D49</f>
        <v>#25</v>
      </c>
      <c r="D227" s="42" t="str">
        <f ca="1">'Landscape Trees '!E49</f>
        <v>1.75-2"</v>
      </c>
      <c r="E227" s="42" t="str">
        <f ca="1">'Landscape Trees '!F49</f>
        <v>12-13'</v>
      </c>
      <c r="F227" s="52">
        <f ca="1">'Landscape Trees '!G49</f>
        <v>3</v>
      </c>
      <c r="G227" s="66">
        <f ca="1">'Landscape Trees '!H49*0.9</f>
        <v>90</v>
      </c>
      <c r="H227" s="51" t="str">
        <f t="shared" ca="1" si="0"/>
        <v>Ultra Hackberry (Discounted) #25-2021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Cephalanthus occidentalis</v>
      </c>
      <c r="B228" s="51" t="str">
        <f ca="1">'Landscape Trees '!C50</f>
        <v>Buttonbush</v>
      </c>
      <c r="C228" s="42" t="str">
        <f ca="1">'Landscape Trees '!D50</f>
        <v>#5</v>
      </c>
      <c r="D228" s="42" t="str">
        <f ca="1">'Landscape Trees '!E50</f>
        <v>Multi</v>
      </c>
      <c r="E228" s="42" t="str">
        <f ca="1">'Landscape Trees '!F50</f>
        <v>3-3'</v>
      </c>
      <c r="F228" s="52">
        <f ca="1">'Landscape Trees '!G50</f>
        <v>31</v>
      </c>
      <c r="G228" s="66">
        <f ca="1">'Landscape Trees '!H50*0.9</f>
        <v>33.300000000000004</v>
      </c>
      <c r="H228" s="51" t="str">
        <f t="shared" ca="1" si="0"/>
        <v>Buttonbush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Cercis canadensis</v>
      </c>
      <c r="B229" s="51" t="str">
        <f ca="1">'Landscape Trees '!C51</f>
        <v>Eastern Redbud</v>
      </c>
      <c r="C229" s="42" t="str">
        <f ca="1">'Landscape Trees '!D51</f>
        <v>#5</v>
      </c>
      <c r="D229" s="42" t="str">
        <f ca="1">'Landscape Trees '!E51</f>
        <v>0.25-0.75"</v>
      </c>
      <c r="E229" s="42" t="str">
        <f ca="1">'Landscape Trees '!F51</f>
        <v>4-7'</v>
      </c>
      <c r="F229" s="52">
        <f ca="1">'Landscape Trees '!G51</f>
        <v>109</v>
      </c>
      <c r="G229" s="66">
        <f ca="1">'Landscape Trees '!H51*0.9</f>
        <v>45</v>
      </c>
      <c r="H229" s="51" t="str">
        <f t="shared" ca="1" si="0"/>
        <v>Eastern Redbud #5-2021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Cercis canadensis</v>
      </c>
      <c r="B230" s="51" t="str">
        <f ca="1">'Landscape Trees '!C52</f>
        <v>Eastern Redbud</v>
      </c>
      <c r="C230" s="42" t="str">
        <f ca="1">'Landscape Trees '!D52</f>
        <v>#7</v>
      </c>
      <c r="D230" s="42" t="str">
        <f ca="1">'Landscape Trees '!E52</f>
        <v>0.75-1"</v>
      </c>
      <c r="E230" s="42" t="str">
        <f ca="1">'Landscape Trees '!F52</f>
        <v>6-9'</v>
      </c>
      <c r="F230" s="52">
        <f ca="1">'Landscape Trees '!G52</f>
        <v>1</v>
      </c>
      <c r="G230" s="66">
        <f ca="1">'Landscape Trees '!H52*0.9</f>
        <v>63</v>
      </c>
      <c r="H230" s="51" t="str">
        <f t="shared" ca="1" si="0"/>
        <v>Eastern Redbud #7-2021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Cercis canadensis</v>
      </c>
      <c r="B231" s="51" t="str">
        <f ca="1">'Landscape Trees '!C53</f>
        <v>Eastern Redbud</v>
      </c>
      <c r="C231" s="42" t="str">
        <f ca="1">'Landscape Trees '!D53</f>
        <v>#10</v>
      </c>
      <c r="D231" s="42" t="str">
        <f ca="1">'Landscape Trees '!E53</f>
        <v>0.75-1.5"</v>
      </c>
      <c r="E231" s="42" t="str">
        <f ca="1">'Landscape Trees '!F53</f>
        <v>6-11'</v>
      </c>
      <c r="F231" s="52">
        <f ca="1">'Landscape Trees '!G53</f>
        <v>15</v>
      </c>
      <c r="G231" s="66">
        <f ca="1">'Landscape Trees '!H53*0.9</f>
        <v>90</v>
      </c>
      <c r="H231" s="51" t="str">
        <f t="shared" ca="1" si="0"/>
        <v>Eastern Redbud #10-2021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canadensis</v>
      </c>
      <c r="B232" s="51" t="str">
        <f ca="1">'Landscape Trees '!C54</f>
        <v>Eastern Redbud</v>
      </c>
      <c r="C232" s="42" t="str">
        <f ca="1">'Landscape Trees '!D54</f>
        <v>#15</v>
      </c>
      <c r="D232" s="42" t="str">
        <f ca="1">'Landscape Trees '!E54</f>
        <v>1.25-1.5"</v>
      </c>
      <c r="E232" s="42" t="str">
        <f ca="1">'Landscape Trees '!F54</f>
        <v>9-11'</v>
      </c>
      <c r="F232" s="52">
        <f ca="1">'Landscape Trees '!G54</f>
        <v>4</v>
      </c>
      <c r="G232" s="66">
        <f ca="1">'Landscape Trees '!H54*0.9</f>
        <v>121.5</v>
      </c>
      <c r="H232" s="51" t="str">
        <f t="shared" ca="1" si="0"/>
        <v>Eastern Redbud #15-2021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 'Forest Pansy'</v>
      </c>
      <c r="B233" s="51" t="str">
        <f ca="1">'Landscape Trees '!C55</f>
        <v>Forest Pansy Redbud</v>
      </c>
      <c r="C233" s="42" t="str">
        <f ca="1">'Landscape Trees '!D55</f>
        <v>#10</v>
      </c>
      <c r="D233" s="42" t="str">
        <f ca="1">'Landscape Trees '!E55</f>
        <v>1-1.25"</v>
      </c>
      <c r="E233" s="42" t="str">
        <f ca="1">'Landscape Trees '!F55</f>
        <v>6-11'</v>
      </c>
      <c r="F233" s="52">
        <f ca="1">'Landscape Trees '!G55</f>
        <v>31</v>
      </c>
      <c r="G233" s="66">
        <f ca="1">'Landscape Trees '!H55*0.9</f>
        <v>90</v>
      </c>
      <c r="H233" s="51" t="str">
        <f t="shared" ca="1" si="0"/>
        <v>Forest Pansy Redbud #10-2021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 'Lavender Twist'</v>
      </c>
      <c r="B234" s="51" t="str">
        <f ca="1">'Landscape Trees '!C56</f>
        <v>Lavender Twist Redbud</v>
      </c>
      <c r="C234" s="42" t="str">
        <f ca="1">'Landscape Trees '!D56</f>
        <v>#7</v>
      </c>
      <c r="D234" s="42" t="str">
        <f ca="1">'Landscape Trees '!E56</f>
        <v>0.75-1"</v>
      </c>
      <c r="E234" s="42" t="str">
        <f ca="1">'Landscape Trees '!F56</f>
        <v>4-6'</v>
      </c>
      <c r="F234" s="52">
        <f ca="1">'Landscape Trees '!G56</f>
        <v>8</v>
      </c>
      <c r="G234" s="66">
        <f ca="1">'Landscape Trees '!H56*0.9</f>
        <v>90</v>
      </c>
      <c r="H234" s="51" t="str">
        <f t="shared" ca="1" si="0"/>
        <v>Lavender Twist Redbud #7-2021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 'Ruby Falls'</v>
      </c>
      <c r="B235" s="51" t="str">
        <f ca="1">'Landscape Trees '!C57</f>
        <v>Ruby Falls Redbud</v>
      </c>
      <c r="C235" s="42" t="str">
        <f ca="1">'Landscape Trees '!D57</f>
        <v>#5</v>
      </c>
      <c r="D235" s="42" t="str">
        <f ca="1">'Landscape Trees '!E57</f>
        <v>0.5-0.5"</v>
      </c>
      <c r="E235" s="42" t="str">
        <f ca="1">'Landscape Trees '!F57</f>
        <v>2-3'</v>
      </c>
      <c r="F235" s="52">
        <f ca="1">'Landscape Trees '!G57</f>
        <v>5</v>
      </c>
      <c r="G235" s="66">
        <f ca="1">'Landscape Trees '!H57*0.9</f>
        <v>90</v>
      </c>
      <c r="H235" s="51" t="str">
        <f t="shared" ca="1" si="0"/>
        <v>Ruby Falls Redbud #5-2021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 'Whitebud'</v>
      </c>
      <c r="B236" s="51" t="str">
        <f ca="1">'Landscape Trees '!C58</f>
        <v>Whitebud</v>
      </c>
      <c r="C236" s="42" t="str">
        <f ca="1">'Landscape Trees '!D58</f>
        <v>#15</v>
      </c>
      <c r="D236" s="42" t="str">
        <f ca="1">'Landscape Trees '!E58</f>
        <v>1-1"</v>
      </c>
      <c r="E236" s="42" t="str">
        <f ca="1">'Landscape Trees '!F58</f>
        <v>7-8'</v>
      </c>
      <c r="F236" s="52">
        <f ca="1">'Landscape Trees '!G58</f>
        <v>4</v>
      </c>
      <c r="G236" s="66">
        <f ca="1">'Landscape Trees '!H58*0.9</f>
        <v>121.5</v>
      </c>
      <c r="H236" s="51" t="str">
        <f t="shared" ca="1" si="0"/>
        <v>Whitebud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Chionanthus virginicus</v>
      </c>
      <c r="B237" s="51" t="str">
        <f ca="1">'Landscape Trees '!C59</f>
        <v>White Fringe Tree</v>
      </c>
      <c r="C237" s="42" t="str">
        <f ca="1">'Landscape Trees '!D59</f>
        <v>#5</v>
      </c>
      <c r="D237" s="42" t="str">
        <f ca="1">'Landscape Trees '!E59</f>
        <v>Multi</v>
      </c>
      <c r="E237" s="42" t="str">
        <f ca="1">'Landscape Trees '!F59</f>
        <v>1-3'</v>
      </c>
      <c r="F237" s="52">
        <f ca="1">'Landscape Trees '!G59</f>
        <v>72</v>
      </c>
      <c r="G237" s="66">
        <f ca="1">'Landscape Trees '!H59*0.9</f>
        <v>45</v>
      </c>
      <c r="H237" s="51" t="str">
        <f t="shared" ca="1" si="0"/>
        <v>White Fringe Tree #5-2021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Cladastris kentuckea 'Perkins Pink'</v>
      </c>
      <c r="B238" s="51" t="str">
        <f ca="1">'Landscape Trees '!C60</f>
        <v>Perkins Pink Yellowwood</v>
      </c>
      <c r="C238" s="42" t="str">
        <f ca="1">'Landscape Trees '!D60</f>
        <v>#15</v>
      </c>
      <c r="D238" s="42" t="str">
        <f ca="1">'Landscape Trees '!E60</f>
        <v>1-1.25"</v>
      </c>
      <c r="E238" s="42" t="str">
        <f ca="1">'Landscape Trees '!F60</f>
        <v>9-11'</v>
      </c>
      <c r="F238" s="52">
        <f ca="1">'Landscape Trees '!G60</f>
        <v>3</v>
      </c>
      <c r="G238" s="66">
        <f ca="1">'Landscape Trees '!H60*0.9</f>
        <v>121.5</v>
      </c>
      <c r="H238" s="51" t="str">
        <f t="shared" ca="1" si="0"/>
        <v>Perkins Pink Yellowwood #15-2021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Cladrastis kentukea</v>
      </c>
      <c r="B239" s="51" t="str">
        <f ca="1">'Landscape Trees '!C61</f>
        <v>Yellowwood</v>
      </c>
      <c r="C239" s="42" t="str">
        <f ca="1">'Landscape Trees '!D61</f>
        <v>#5</v>
      </c>
      <c r="D239" s="42" t="str">
        <f ca="1">'Landscape Trees '!E61</f>
        <v>0.5-0.75"</v>
      </c>
      <c r="E239" s="42" t="str">
        <f ca="1">'Landscape Trees '!F61</f>
        <v>4-8'</v>
      </c>
      <c r="F239" s="52">
        <f ca="1">'Landscape Trees '!G61</f>
        <v>130</v>
      </c>
      <c r="G239" s="66">
        <f ca="1">'Landscape Trees '!H61*0.9</f>
        <v>45</v>
      </c>
      <c r="H239" s="51" t="str">
        <f t="shared" ca="1" si="0"/>
        <v>Yellowwood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Cladrastis kentukea</v>
      </c>
      <c r="B240" s="51" t="str">
        <f ca="1">'Landscape Trees '!C62</f>
        <v>Yellowwood</v>
      </c>
      <c r="C240" s="42" t="str">
        <f ca="1">'Landscape Trees '!D62</f>
        <v>#15</v>
      </c>
      <c r="D240" s="42" t="str">
        <f ca="1">'Landscape Trees '!E62</f>
        <v>1-1.25"</v>
      </c>
      <c r="E240" s="42" t="str">
        <f ca="1">'Landscape Trees '!F62</f>
        <v>9-10'</v>
      </c>
      <c r="F240" s="52">
        <f ca="1">'Landscape Trees '!G62</f>
        <v>5</v>
      </c>
      <c r="G240" s="66">
        <f ca="1">'Landscape Trees '!H62*0.9</f>
        <v>121.5</v>
      </c>
      <c r="H240" s="51" t="str">
        <f t="shared" ca="1" si="0"/>
        <v>Yellowwood #15-2021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Cornus 'Appalachian Spring'</v>
      </c>
      <c r="B241" s="51" t="str">
        <f ca="1">'Landscape Trees '!C63</f>
        <v>Appalachian Spring Dogwood</v>
      </c>
      <c r="C241" s="42" t="str">
        <f ca="1">'Landscape Trees '!D63</f>
        <v>#10</v>
      </c>
      <c r="D241" s="42" t="str">
        <f ca="1">'Landscape Trees '!E63</f>
        <v>0.5-0.75"</v>
      </c>
      <c r="E241" s="42" t="str">
        <f ca="1">'Landscape Trees '!F63</f>
        <v>4-5'</v>
      </c>
      <c r="F241" s="52">
        <f ca="1">'Landscape Trees '!G63</f>
        <v>1</v>
      </c>
      <c r="G241" s="66">
        <f ca="1">'Landscape Trees '!H63*0.9</f>
        <v>90</v>
      </c>
      <c r="H241" s="51" t="str">
        <f t="shared" ca="1" si="0"/>
        <v>Appalachian Spring Dogwood #10-2021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Cornus florida</v>
      </c>
      <c r="B242" s="51" t="str">
        <f ca="1">'Landscape Trees '!C64</f>
        <v>White Dogwood</v>
      </c>
      <c r="C242" s="42" t="str">
        <f ca="1">'Landscape Trees '!D64</f>
        <v>#5</v>
      </c>
      <c r="D242" s="42" t="str">
        <f ca="1">'Landscape Trees '!E64</f>
        <v>0.25-0.75"</v>
      </c>
      <c r="E242" s="42" t="str">
        <f ca="1">'Landscape Trees '!F64</f>
        <v>4-7'</v>
      </c>
      <c r="F242" s="52">
        <f ca="1">'Landscape Trees '!G64</f>
        <v>159</v>
      </c>
      <c r="G242" s="66">
        <f ca="1">'Landscape Trees '!H64*0.9</f>
        <v>45</v>
      </c>
      <c r="H242" s="51" t="str">
        <f t="shared" ca="1" si="0"/>
        <v>White Dogwood #5-2021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Cornus florida</v>
      </c>
      <c r="B243" s="51" t="str">
        <f ca="1">'Landscape Trees '!C65</f>
        <v>White Dogwood</v>
      </c>
      <c r="C243" s="42" t="str">
        <f ca="1">'Landscape Trees '!D65</f>
        <v>#7</v>
      </c>
      <c r="D243" s="42" t="str">
        <f ca="1">'Landscape Trees '!E65</f>
        <v>0.5-0.75"</v>
      </c>
      <c r="E243" s="42" t="str">
        <f ca="1">'Landscape Trees '!F65</f>
        <v>5-6'</v>
      </c>
      <c r="F243" s="52">
        <f ca="1">'Landscape Trees '!G65</f>
        <v>86</v>
      </c>
      <c r="G243" s="66">
        <f ca="1">'Landscape Trees '!H65*0.9</f>
        <v>63</v>
      </c>
      <c r="H243" s="51" t="str">
        <f t="shared" ca="1" si="0"/>
        <v>White Dogwood #7-2021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Cornus florida 'Appalachian Mist'</v>
      </c>
      <c r="B244" s="51" t="str">
        <f ca="1">'Landscape Trees '!C66</f>
        <v>Appalachian Mist Dogwood</v>
      </c>
      <c r="C244" s="42" t="str">
        <f ca="1">'Landscape Trees '!D66</f>
        <v>#7</v>
      </c>
      <c r="D244" s="42" t="str">
        <f ca="1">'Landscape Trees '!E66</f>
        <v>0.5-1"</v>
      </c>
      <c r="E244" s="42" t="str">
        <f ca="1">'Landscape Trees '!F66</f>
        <v>4-5.5'</v>
      </c>
      <c r="F244" s="52">
        <f ca="1">'Landscape Trees '!G66</f>
        <v>25</v>
      </c>
      <c r="G244" s="66">
        <f ca="1">'Landscape Trees '!H66*0.9</f>
        <v>63</v>
      </c>
      <c r="H244" s="51" t="str">
        <f t="shared" ca="1" si="0"/>
        <v>Appalachian Mist Dogwood #7-2021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florida 'Appalachian Snow'</v>
      </c>
      <c r="B245" s="51" t="str">
        <f ca="1">'Landscape Trees '!C67</f>
        <v>Appalachian Snow Dogwood</v>
      </c>
      <c r="C245" s="42" t="str">
        <f ca="1">'Landscape Trees '!D67</f>
        <v>#5</v>
      </c>
      <c r="D245" s="42" t="str">
        <f ca="1">'Landscape Trees '!E67</f>
        <v>0.5-0.75"</v>
      </c>
      <c r="E245" s="42" t="str">
        <f ca="1">'Landscape Trees '!F67</f>
        <v>4-5'</v>
      </c>
      <c r="F245" s="52">
        <f ca="1">'Landscape Trees '!G67</f>
        <v>19</v>
      </c>
      <c r="G245" s="53">
        <f ca="1">'Landscape Trees '!H67*0.9</f>
        <v>45</v>
      </c>
      <c r="H245" s="51" t="str">
        <f t="shared" ca="1" si="0"/>
        <v>Appalachian Snow Dogwood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Cornus florida 'Cherokee Brave'</v>
      </c>
      <c r="B246" s="51" t="str">
        <f ca="1">'Landscape Trees '!C68</f>
        <v>Cherokee Brave Dogwood</v>
      </c>
      <c r="C246" s="42" t="str">
        <f ca="1">'Landscape Trees '!D68</f>
        <v>#5</v>
      </c>
      <c r="D246" s="42" t="str">
        <f ca="1">'Landscape Trees '!E68</f>
        <v>0.5-0.75"</v>
      </c>
      <c r="E246" s="42" t="str">
        <f ca="1">'Landscape Trees '!F68</f>
        <v>4-5'</v>
      </c>
      <c r="F246" s="52">
        <f ca="1">'Landscape Trees '!G68</f>
        <v>111</v>
      </c>
      <c r="G246" s="66">
        <f ca="1">'Landscape Trees '!H68*0.9</f>
        <v>45</v>
      </c>
      <c r="H246" s="51" t="str">
        <f t="shared" ca="1" si="0"/>
        <v>Cherokee Brave Dogwood #5-2021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Cornus florida 'Cherokee Brave'</v>
      </c>
      <c r="B247" s="51" t="str">
        <f ca="1">'Landscape Trees '!C69</f>
        <v>Cherokee Brave Dogwood</v>
      </c>
      <c r="C247" s="42" t="str">
        <f ca="1">'Landscape Trees '!D69</f>
        <v>#7</v>
      </c>
      <c r="D247" s="42" t="str">
        <f ca="1">'Landscape Trees '!E69</f>
        <v>0.5-1"</v>
      </c>
      <c r="E247" s="42" t="str">
        <f ca="1">'Landscape Trees '!F69</f>
        <v>4-6'</v>
      </c>
      <c r="F247" s="52">
        <f ca="1">'Landscape Trees '!G69</f>
        <v>31</v>
      </c>
      <c r="G247" s="66">
        <f ca="1">'Landscape Trees '!H69*0.9</f>
        <v>63</v>
      </c>
      <c r="H247" s="51" t="str">
        <f t="shared" ca="1" si="0"/>
        <v>Cherokee Brave Dogwood #7-2021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florida 'Cherokee Brave'</v>
      </c>
      <c r="B248" s="51" t="str">
        <f ca="1">'Landscape Trees '!C70</f>
        <v>Cherokee Brave Dogwood</v>
      </c>
      <c r="C248" s="42" t="str">
        <f ca="1">'Landscape Trees '!D70</f>
        <v>#10</v>
      </c>
      <c r="D248" s="42" t="str">
        <f ca="1">'Landscape Trees '!E70</f>
        <v>0.75-1"</v>
      </c>
      <c r="E248" s="42" t="str">
        <f ca="1">'Landscape Trees '!F70</f>
        <v>6-8'</v>
      </c>
      <c r="F248" s="52">
        <f ca="1">'Landscape Trees '!G70</f>
        <v>13</v>
      </c>
      <c r="G248" s="66">
        <f ca="1">'Landscape Trees '!H70*0.9</f>
        <v>90</v>
      </c>
      <c r="H248" s="51" t="str">
        <f t="shared" ca="1" si="0"/>
        <v>Cherokee Brave Dogwood #10-2021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florida 'Cherokee Princess'</v>
      </c>
      <c r="B249" s="51" t="str">
        <f ca="1">'Landscape Trees '!C71</f>
        <v>Cherokee Princess Dogwood</v>
      </c>
      <c r="C249" s="42" t="str">
        <f ca="1">'Landscape Trees '!D71</f>
        <v>#7</v>
      </c>
      <c r="D249" s="42" t="str">
        <f ca="1">'Landscape Trees '!E71</f>
        <v>0.5-0.75"</v>
      </c>
      <c r="E249" s="42" t="str">
        <f ca="1">'Landscape Trees '!F71</f>
        <v>4-6'</v>
      </c>
      <c r="F249" s="52">
        <f ca="1">'Landscape Trees '!G71</f>
        <v>17</v>
      </c>
      <c r="G249" s="66">
        <f ca="1">'Landscape Trees '!H71*0.9</f>
        <v>63</v>
      </c>
      <c r="H249" s="51" t="str">
        <f t="shared" ca="1" si="0"/>
        <v>Cherokee Princess Dogwood #7-2021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florida 'Cloud 9'</v>
      </c>
      <c r="B250" s="51" t="str">
        <f ca="1">'Landscape Trees '!C72</f>
        <v>Cloud 9 Dogwood</v>
      </c>
      <c r="C250" s="42" t="str">
        <f ca="1">'Landscape Trees '!D72</f>
        <v>#5</v>
      </c>
      <c r="D250" s="42" t="str">
        <f ca="1">'Landscape Trees '!E72</f>
        <v>0.75-1"</v>
      </c>
      <c r="E250" s="42" t="str">
        <f ca="1">'Landscape Trees '!F72</f>
        <v>4-5.5'</v>
      </c>
      <c r="F250" s="52">
        <f ca="1">'Landscape Trees '!G72</f>
        <v>21</v>
      </c>
      <c r="G250" s="66">
        <f ca="1">'Landscape Trees '!H72*0.9</f>
        <v>45</v>
      </c>
      <c r="H250" s="51" t="str">
        <f t="shared" ca="1" si="0"/>
        <v>Cloud 9 Dogwood #5-2021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kousa 'Rutpink'</v>
      </c>
      <c r="B251" s="51" t="str">
        <f ca="1">'Landscape Trees '!C73</f>
        <v>Scarlet Fire Dogwood</v>
      </c>
      <c r="C251" s="42" t="str">
        <f ca="1">'Landscape Trees '!D73</f>
        <v>#7</v>
      </c>
      <c r="D251" s="42" t="str">
        <f ca="1">'Landscape Trees '!E73</f>
        <v>0.75-1.25"</v>
      </c>
      <c r="E251" s="42" t="str">
        <f ca="1">'Landscape Trees '!F73</f>
        <v>7-9'</v>
      </c>
      <c r="F251" s="52">
        <f ca="1">'Landscape Trees '!G73</f>
        <v>38</v>
      </c>
      <c r="G251" s="66">
        <f ca="1">'Landscape Trees '!H73*0.9</f>
        <v>63</v>
      </c>
      <c r="H251" s="51" t="str">
        <f t="shared" ca="1" si="0"/>
        <v>Scarlet Fire Dogwood #7-2021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kousa 'Rutpink'</v>
      </c>
      <c r="B252" s="51" t="str">
        <f ca="1">'Landscape Trees '!C74</f>
        <v>Scarlet Fire Dogwood</v>
      </c>
      <c r="C252" s="42" t="str">
        <f ca="1">'Landscape Trees '!D74</f>
        <v>#10</v>
      </c>
      <c r="D252" s="42" t="str">
        <f ca="1">'Landscape Trees '!E74</f>
        <v>1-1.5"</v>
      </c>
      <c r="E252" s="42" t="str">
        <f ca="1">'Landscape Trees '!F74</f>
        <v>8-10'</v>
      </c>
      <c r="F252" s="52">
        <f ca="1">'Landscape Trees '!G74</f>
        <v>19</v>
      </c>
      <c r="G252" s="66">
        <f ca="1">'Landscape Trees '!H74*0.9</f>
        <v>90</v>
      </c>
      <c r="H252" s="51" t="str">
        <f t="shared" ca="1" si="0"/>
        <v>Scarlet Fire Dogwood #10-2021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sericea</v>
      </c>
      <c r="B253" s="51" t="str">
        <f ca="1">'Landscape Trees '!C75</f>
        <v>Red Twig Dogwood</v>
      </c>
      <c r="C253" s="42" t="str">
        <f ca="1">'Landscape Trees '!D75</f>
        <v>#5</v>
      </c>
      <c r="D253" s="42" t="str">
        <f ca="1">'Landscape Trees '!E75</f>
        <v>Multi</v>
      </c>
      <c r="E253" s="42" t="str">
        <f ca="1">'Landscape Trees '!F75</f>
        <v>3-4'</v>
      </c>
      <c r="F253" s="52">
        <f ca="1">'Landscape Trees '!G75</f>
        <v>6</v>
      </c>
      <c r="G253" s="66">
        <f ca="1">'Landscape Trees '!H75*0.9</f>
        <v>33.300000000000004</v>
      </c>
      <c r="H253" s="51" t="str">
        <f t="shared" ca="1" si="0"/>
        <v>Red Twig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x 'Rutgan' Stellar Pink</v>
      </c>
      <c r="B254" s="51" t="str">
        <f ca="1">'Landscape Trees '!C76</f>
        <v>Stellar Pink Dogwood</v>
      </c>
      <c r="C254" s="42" t="str">
        <f ca="1">'Landscape Trees '!D76</f>
        <v>#10</v>
      </c>
      <c r="D254" s="42" t="str">
        <f ca="1">'Landscape Trees '!E76</f>
        <v>1.25-1.5"</v>
      </c>
      <c r="E254" s="42" t="str">
        <f ca="1">'Landscape Trees '!F76</f>
        <v>9-11'</v>
      </c>
      <c r="F254" s="52">
        <f ca="1">'Landscape Trees '!G76</f>
        <v>12</v>
      </c>
      <c r="G254" s="66">
        <f ca="1">'Landscape Trees '!H76*0.9</f>
        <v>90</v>
      </c>
      <c r="H254" s="51" t="str">
        <f t="shared" ca="1" si="0"/>
        <v>Stellar Pink Dogwood #10-2021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x Rutcan 'Constellation'</v>
      </c>
      <c r="B255" s="51" t="str">
        <f ca="1">'Landscape Trees '!C77</f>
        <v>Constellation Dogwood</v>
      </c>
      <c r="C255" s="42" t="str">
        <f ca="1">'Landscape Trees '!D77</f>
        <v>#10</v>
      </c>
      <c r="D255" s="42" t="str">
        <f ca="1">'Landscape Trees '!E77</f>
        <v>1-1.25"</v>
      </c>
      <c r="E255" s="42" t="str">
        <f ca="1">'Landscape Trees '!F77</f>
        <v>8-9.5'</v>
      </c>
      <c r="F255" s="52">
        <f ca="1">'Landscape Trees '!G77</f>
        <v>31</v>
      </c>
      <c r="G255" s="66">
        <f ca="1">'Landscape Trees '!H77*0.9</f>
        <v>90</v>
      </c>
      <c r="H255" s="51" t="str">
        <f t="shared" ca="1" si="0"/>
        <v>Constellation Dogwood #10-2021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x Rutcan 'Constellation'</v>
      </c>
      <c r="B256" s="51" t="str">
        <f ca="1">'Landscape Trees '!C78</f>
        <v>Constellation Dogwood</v>
      </c>
      <c r="C256" s="42" t="str">
        <f ca="1">'Landscape Trees '!D78</f>
        <v>#15</v>
      </c>
      <c r="D256" s="42" t="str">
        <f ca="1">'Landscape Trees '!E78</f>
        <v>1-1.25"</v>
      </c>
      <c r="E256" s="42" t="str">
        <f ca="1">'Landscape Trees '!F78</f>
        <v>6-10'</v>
      </c>
      <c r="F256" s="52">
        <f ca="1">'Landscape Trees '!G78</f>
        <v>23</v>
      </c>
      <c r="G256" s="66">
        <f ca="1">'Landscape Trees '!H78*0.9</f>
        <v>121.5</v>
      </c>
      <c r="H256" s="51" t="str">
        <f t="shared" ca="1" si="0"/>
        <v>Constellation Dogwood #15-2021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Cotinus coggygria 'Royal Purple'</v>
      </c>
      <c r="B257" s="51" t="str">
        <f ca="1">'Landscape Trees '!C79</f>
        <v>Royal Purple Smokebush</v>
      </c>
      <c r="C257" s="42" t="str">
        <f ca="1">'Landscape Trees '!D79</f>
        <v>#5</v>
      </c>
      <c r="D257" s="42" t="str">
        <f ca="1">'Landscape Trees '!E79</f>
        <v>Multi</v>
      </c>
      <c r="E257" s="42" t="str">
        <f ca="1">'Landscape Trees '!F79</f>
        <v>7-9'</v>
      </c>
      <c r="F257" s="52">
        <f ca="1">'Landscape Trees '!G79</f>
        <v>12</v>
      </c>
      <c r="G257" s="66">
        <f ca="1">'Landscape Trees '!H79*0.9</f>
        <v>45</v>
      </c>
      <c r="H257" s="51" t="str">
        <f t="shared" ca="1" si="0"/>
        <v>Royal Purple Smokebush #5-2021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Cotinus obovatus</v>
      </c>
      <c r="B258" s="51" t="str">
        <f ca="1">'Landscape Trees '!C80</f>
        <v>Smokebush (Native)</v>
      </c>
      <c r="C258" s="42" t="str">
        <f ca="1">'Landscape Trees '!D80</f>
        <v>#5</v>
      </c>
      <c r="D258" s="42" t="str">
        <f ca="1">'Landscape Trees '!E80</f>
        <v>0.5-1"</v>
      </c>
      <c r="E258" s="42" t="str">
        <f ca="1">'Landscape Trees '!F80</f>
        <v>7-10'</v>
      </c>
      <c r="F258" s="52">
        <f ca="1">'Landscape Trees '!G80</f>
        <v>63</v>
      </c>
      <c r="G258" s="66">
        <f ca="1">'Landscape Trees '!H80*0.9</f>
        <v>45</v>
      </c>
      <c r="H258" s="51" t="str">
        <f t="shared" ca="1" si="0"/>
        <v>Smokebush (Native) #5-2021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Crataegus marshallii</v>
      </c>
      <c r="B259" s="51" t="str">
        <f ca="1">'Landscape Trees '!C81</f>
        <v>Parsley Hawthorn</v>
      </c>
      <c r="C259" s="42" t="str">
        <f ca="1">'Landscape Trees '!D81</f>
        <v>#5</v>
      </c>
      <c r="D259" s="42" t="str">
        <f ca="1">'Landscape Trees '!E81</f>
        <v>0.25-0.75"</v>
      </c>
      <c r="E259" s="42" t="str">
        <f ca="1">'Landscape Trees '!F81</f>
        <v>3-8'</v>
      </c>
      <c r="F259" s="52">
        <f ca="1">'Landscape Trees '!G81</f>
        <v>34</v>
      </c>
      <c r="G259" s="66">
        <f ca="1">'Landscape Trees '!H81*0.9</f>
        <v>45</v>
      </c>
      <c r="H259" s="51" t="str">
        <f t="shared" ca="1" si="0"/>
        <v>Parsley Hawthorn #5-2021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Crataegus viridis 'Winter King'</v>
      </c>
      <c r="B260" s="51" t="str">
        <f ca="1">'Landscape Trees '!C82</f>
        <v>Winter King Hawthorn</v>
      </c>
      <c r="C260" s="42" t="str">
        <f ca="1">'Landscape Trees '!D82</f>
        <v>#5</v>
      </c>
      <c r="D260" s="42" t="str">
        <f ca="1">'Landscape Trees '!E82</f>
        <v>0.75-1"</v>
      </c>
      <c r="E260" s="42" t="str">
        <f ca="1">'Landscape Trees '!F82</f>
        <v>5-8'</v>
      </c>
      <c r="F260" s="52">
        <f ca="1">'Landscape Trees '!G82</f>
        <v>29</v>
      </c>
      <c r="G260" s="66">
        <f ca="1">'Landscape Trees '!H82*0.9</f>
        <v>63</v>
      </c>
      <c r="H260" s="51" t="str">
        <f t="shared" ca="1" si="0"/>
        <v>Winter King Hawthorn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Crataegus viridis 'Winter King'</v>
      </c>
      <c r="B261" s="51" t="str">
        <f ca="1">'Landscape Trees '!C83</f>
        <v>Winter King Hawthorn</v>
      </c>
      <c r="C261" s="42" t="str">
        <f ca="1">'Landscape Trees '!D83</f>
        <v>#15</v>
      </c>
      <c r="D261" s="42" t="str">
        <f ca="1">'Landscape Trees '!E83</f>
        <v>1.25-1.5"</v>
      </c>
      <c r="E261" s="42" t="str">
        <f ca="1">'Landscape Trees '!F83</f>
        <v>9-11'</v>
      </c>
      <c r="F261" s="52">
        <f ca="1">'Landscape Trees '!G83</f>
        <v>35</v>
      </c>
      <c r="G261" s="66">
        <f ca="1">'Landscape Trees '!H83*0.9</f>
        <v>121.5</v>
      </c>
      <c r="H261" s="51" t="str">
        <f t="shared" ca="1" si="0"/>
        <v>Winter King Hawthorn #15-2021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Diospyros virginiana</v>
      </c>
      <c r="B262" s="51" t="str">
        <f ca="1">'Landscape Trees '!C84</f>
        <v>American Persimmon</v>
      </c>
      <c r="C262" s="42" t="str">
        <f ca="1">'Landscape Trees '!D84</f>
        <v>#7</v>
      </c>
      <c r="D262" s="42" t="str">
        <f ca="1">'Landscape Trees '!E84</f>
        <v>0.75-1"</v>
      </c>
      <c r="E262" s="42" t="str">
        <f ca="1">'Landscape Trees '!F84</f>
        <v>6-7'</v>
      </c>
      <c r="F262" s="52">
        <f ca="1">'Landscape Trees '!G84</f>
        <v>1</v>
      </c>
      <c r="G262" s="66">
        <f ca="1">'Landscape Trees '!H84*0.9</f>
        <v>45</v>
      </c>
      <c r="H262" s="51" t="str">
        <f t="shared" ca="1" si="0"/>
        <v>American Persimmon #7-2021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Euonymus americanus</v>
      </c>
      <c r="B263" s="51" t="str">
        <f ca="1">'Landscape Trees '!C85</f>
        <v>Strawberry Bush</v>
      </c>
      <c r="C263" s="42" t="str">
        <f ca="1">'Landscape Trees '!D85</f>
        <v>#5</v>
      </c>
      <c r="D263" s="42" t="str">
        <f ca="1">'Landscape Trees '!E85</f>
        <v>Multi</v>
      </c>
      <c r="E263" s="42" t="str">
        <f ca="1">'Landscape Trees '!F85</f>
        <v>1-5'</v>
      </c>
      <c r="F263" s="52">
        <f ca="1">'Landscape Trees '!G85</f>
        <v>29</v>
      </c>
      <c r="G263" s="66">
        <f ca="1">'Landscape Trees '!H85*0.9</f>
        <v>45</v>
      </c>
      <c r="H263" s="51" t="str">
        <f t="shared" ref="H263:H469" ca="1" si="3">B263&amp;" "&amp;C263&amp;-2021</f>
        <v>Strawberry Bush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Fagus grandiflora</v>
      </c>
      <c r="B264" s="51" t="str">
        <f ca="1">'Landscape Trees '!C86</f>
        <v>American Beech</v>
      </c>
      <c r="C264" s="42" t="str">
        <f ca="1">'Landscape Trees '!D86</f>
        <v>#5</v>
      </c>
      <c r="D264" s="42" t="str">
        <f ca="1">'Landscape Trees '!E86</f>
        <v>0.5-1"</v>
      </c>
      <c r="E264" s="42" t="str">
        <f ca="1">'Landscape Trees '!F86</f>
        <v>4-6'</v>
      </c>
      <c r="F264" s="52">
        <f ca="1">'Landscape Trees '!G86</f>
        <v>53</v>
      </c>
      <c r="G264" s="66">
        <f ca="1">'Landscape Trees '!H86*0.9</f>
        <v>63</v>
      </c>
      <c r="H264" s="51" t="str">
        <f t="shared" ca="1" si="3"/>
        <v>American Beech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Fothergilla x 'Mt. Airy'</v>
      </c>
      <c r="B265" s="51" t="str">
        <f ca="1">'Landscape Trees '!C87</f>
        <v>Mt. Airy Fothergilla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1-2'</v>
      </c>
      <c r="F265" s="52">
        <f ca="1">'Landscape Trees '!G87</f>
        <v>4</v>
      </c>
      <c r="G265" s="66">
        <f ca="1">'Landscape Trees '!H87*0.9</f>
        <v>33.300000000000004</v>
      </c>
      <c r="H265" s="51" t="str">
        <f t="shared" ca="1" si="3"/>
        <v>Mt. Airy Fothergilla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Ginkgo biloba 'Autumn Gold'</v>
      </c>
      <c r="B266" s="51" t="str">
        <f ca="1">'Landscape Trees '!C88</f>
        <v>Autumn Gold Ginkgo</v>
      </c>
      <c r="C266" s="42" t="str">
        <f ca="1">'Landscape Trees '!D88</f>
        <v>#5</v>
      </c>
      <c r="D266" s="42" t="str">
        <f ca="1">'Landscape Trees '!E88</f>
        <v>0.75-1"</v>
      </c>
      <c r="E266" s="42" t="str">
        <f ca="1">'Landscape Trees '!F88</f>
        <v>5-6.5'</v>
      </c>
      <c r="F266" s="52">
        <f ca="1">'Landscape Trees '!G88</f>
        <v>1</v>
      </c>
      <c r="G266" s="66">
        <f ca="1">'Landscape Trees '!H88*0.9</f>
        <v>63</v>
      </c>
      <c r="H266" s="51" t="str">
        <f t="shared" ca="1" si="3"/>
        <v>Autumn Gold Ginkgo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Ginkgo biloba 'Autumn Gold'</v>
      </c>
      <c r="B267" s="51" t="str">
        <f ca="1">'Landscape Trees '!C89</f>
        <v>Autumn Gold Ginkgo</v>
      </c>
      <c r="C267" s="42" t="str">
        <f ca="1">'Landscape Trees '!D89</f>
        <v>#7</v>
      </c>
      <c r="D267" s="42" t="str">
        <f ca="1">'Landscape Trees '!E89</f>
        <v>0.75-1"</v>
      </c>
      <c r="E267" s="42" t="str">
        <f ca="1">'Landscape Trees '!F89</f>
        <v>4-7'</v>
      </c>
      <c r="F267" s="52">
        <f ca="1">'Landscape Trees '!G89</f>
        <v>15</v>
      </c>
      <c r="G267" s="53">
        <f ca="1">'Landscape Trees '!H89*0.9</f>
        <v>63</v>
      </c>
      <c r="H267" s="51" t="str">
        <f t="shared" ca="1" si="3"/>
        <v>Autumn Gold Ginkgo #7-2021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Ginkgo biloba 'Magyar'</v>
      </c>
      <c r="B268" s="51" t="str">
        <f ca="1">'Landscape Trees '!C90</f>
        <v>Magyar Ginkgo</v>
      </c>
      <c r="C268" s="42" t="str">
        <f ca="1">'Landscape Trees '!D90</f>
        <v>#5</v>
      </c>
      <c r="D268" s="42" t="str">
        <f ca="1">'Landscape Trees '!E90</f>
        <v>0.75-1"</v>
      </c>
      <c r="E268" s="42" t="str">
        <f ca="1">'Landscape Trees '!F90</f>
        <v>4-7'</v>
      </c>
      <c r="F268" s="52">
        <f ca="1">'Landscape Trees '!G90</f>
        <v>4</v>
      </c>
      <c r="G268" s="66">
        <f ca="1">'Landscape Trees '!H90*0.9</f>
        <v>63</v>
      </c>
      <c r="H268" s="51" t="str">
        <f t="shared" ca="1" si="3"/>
        <v>Magyar Ginkgo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Ginkgo biloba 'Magyar'</v>
      </c>
      <c r="B269" s="51" t="str">
        <f ca="1">'Landscape Trees '!C91</f>
        <v>Magyar Ginkgo</v>
      </c>
      <c r="C269" s="42" t="str">
        <f ca="1">'Landscape Trees '!D91</f>
        <v>#7</v>
      </c>
      <c r="D269" s="42" t="str">
        <f ca="1">'Landscape Trees '!E91</f>
        <v>1-1.25"</v>
      </c>
      <c r="E269" s="42" t="str">
        <f ca="1">'Landscape Trees '!F91</f>
        <v>6.5-7.5'</v>
      </c>
      <c r="F269" s="52">
        <f ca="1">'Landscape Trees '!G91</f>
        <v>3</v>
      </c>
      <c r="G269" s="66">
        <f ca="1">'Landscape Trees '!H91*0.9</f>
        <v>63</v>
      </c>
      <c r="H269" s="51" t="str">
        <f t="shared" ca="1" si="3"/>
        <v>Magyar Ginkgo #7-2021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Ginkgo biloba 'Magyar'</v>
      </c>
      <c r="B270" s="51" t="str">
        <f ca="1">'Landscape Trees '!C92</f>
        <v>Magyar Ginkgo</v>
      </c>
      <c r="C270" s="42" t="str">
        <f ca="1">'Landscape Trees '!D92</f>
        <v>#15</v>
      </c>
      <c r="D270" s="42" t="str">
        <f ca="1">'Landscape Trees '!E92</f>
        <v>1-1.25"</v>
      </c>
      <c r="E270" s="42" t="str">
        <f ca="1">'Landscape Trees '!F92</f>
        <v>9-9.5'</v>
      </c>
      <c r="F270" s="52">
        <f ca="1">'Landscape Trees '!G92</f>
        <v>3</v>
      </c>
      <c r="G270" s="66">
        <f ca="1">'Landscape Trees '!H92*0.9</f>
        <v>121.5</v>
      </c>
      <c r="H270" s="51" t="str">
        <f t="shared" ca="1" si="3"/>
        <v>Magyar Ginkgo #15-2021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Ginkgo biloba 'Princeton Sentry'</v>
      </c>
      <c r="B271" s="51" t="str">
        <f ca="1">'Landscape Trees '!C93</f>
        <v xml:space="preserve">Princeton Sentry Ginkgo </v>
      </c>
      <c r="C271" s="42" t="str">
        <f ca="1">'Landscape Trees '!D93</f>
        <v>#5</v>
      </c>
      <c r="D271" s="42" t="str">
        <f ca="1">'Landscape Trees '!E93</f>
        <v>0.5-0.75"</v>
      </c>
      <c r="E271" s="42" t="str">
        <f ca="1">'Landscape Trees '!F93</f>
        <v>3-5'</v>
      </c>
      <c r="F271" s="52">
        <f ca="1">'Landscape Trees '!G93</f>
        <v>3</v>
      </c>
      <c r="G271" s="53">
        <f ca="1">'Landscape Trees '!H93*0.9</f>
        <v>63</v>
      </c>
      <c r="H271" s="51" t="str">
        <f t="shared" ca="1" si="3"/>
        <v>Princeton Sentry Ginkgo 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Ginkgo biloba 'Princeton Sentry'</v>
      </c>
      <c r="B272" s="51" t="str">
        <f ca="1">'Landscape Trees '!C94</f>
        <v>Princeton Sentry Ginkgo</v>
      </c>
      <c r="C272" s="42" t="str">
        <f ca="1">'Landscape Trees '!D94</f>
        <v>#7</v>
      </c>
      <c r="D272" s="42" t="str">
        <f ca="1">'Landscape Trees '!E94</f>
        <v>0.5-0.75"</v>
      </c>
      <c r="E272" s="42" t="str">
        <f ca="1">'Landscape Trees '!F94</f>
        <v>3-4'</v>
      </c>
      <c r="F272" s="52">
        <f ca="1">'Landscape Trees '!G94</f>
        <v>6</v>
      </c>
      <c r="G272" s="66">
        <f ca="1">'Landscape Trees '!H94*0.9</f>
        <v>63</v>
      </c>
      <c r="H272" s="51" t="str">
        <f t="shared" ca="1" si="3"/>
        <v>Princeton Sentry Ginkgo #7-2021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Ginkgo biloba 'Princeton Sentry'</v>
      </c>
      <c r="B273" s="51" t="str">
        <f ca="1">'Landscape Trees '!C95</f>
        <v>Princeton Sentry Ginkgo</v>
      </c>
      <c r="C273" s="42" t="str">
        <f ca="1">'Landscape Trees '!D95</f>
        <v>#10</v>
      </c>
      <c r="D273" s="42" t="str">
        <f ca="1">'Landscape Trees '!E95</f>
        <v>0.75-1"</v>
      </c>
      <c r="E273" s="42" t="str">
        <f ca="1">'Landscape Trees '!F95</f>
        <v>5-7'</v>
      </c>
      <c r="F273" s="52">
        <f ca="1">'Landscape Trees '!G95</f>
        <v>3</v>
      </c>
      <c r="G273" s="66">
        <f ca="1">'Landscape Trees '!H95*0.9</f>
        <v>90</v>
      </c>
      <c r="H273" s="51" t="str">
        <f t="shared" ca="1" si="3"/>
        <v>Princeton Sentry Ginkgo #10-2021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Ginkgo biloba 'Princeton Sentry'</v>
      </c>
      <c r="B274" s="51" t="str">
        <f ca="1">'Landscape Trees '!C96</f>
        <v xml:space="preserve">Princeton Sentry Ginkgo </v>
      </c>
      <c r="C274" s="42" t="str">
        <f ca="1">'Landscape Trees '!D96</f>
        <v>#15</v>
      </c>
      <c r="D274" s="42" t="str">
        <f ca="1">'Landscape Trees '!E96</f>
        <v>1-1.25"</v>
      </c>
      <c r="E274" s="42" t="str">
        <f ca="1">'Landscape Trees '!F96</f>
        <v>8-9'</v>
      </c>
      <c r="F274" s="52">
        <f ca="1">'Landscape Trees '!G96</f>
        <v>7</v>
      </c>
      <c r="G274" s="53">
        <f ca="1">'Landscape Trees '!H96*0.9</f>
        <v>121.5</v>
      </c>
      <c r="H274" s="51" t="str">
        <f t="shared" ca="1" si="3"/>
        <v>Princeton Sentry Ginkgo  #15-2021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Ginkgo biloba 'Windover Gold'</v>
      </c>
      <c r="B275" s="51" t="str">
        <f ca="1">'Landscape Trees '!C97</f>
        <v>Windover Gold Ginkgo</v>
      </c>
      <c r="C275" s="42" t="str">
        <f ca="1">'Landscape Trees '!D97</f>
        <v>#15</v>
      </c>
      <c r="D275" s="42" t="str">
        <f ca="1">'Landscape Trees '!E97</f>
        <v>1-1.25"</v>
      </c>
      <c r="E275" s="42" t="str">
        <f ca="1">'Landscape Trees '!F97</f>
        <v>6-9'</v>
      </c>
      <c r="F275" s="52">
        <f ca="1">'Landscape Trees '!G97</f>
        <v>4</v>
      </c>
      <c r="G275" s="53">
        <f ca="1">'Landscape Trees '!H97*0.9</f>
        <v>121.5</v>
      </c>
      <c r="H275" s="51" t="str">
        <f t="shared" ca="1" si="3"/>
        <v>Windover Gold Ginkgo #15-2021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Gleditsia triacanthos 'Skyline'</v>
      </c>
      <c r="B276" s="51" t="str">
        <f ca="1">'Landscape Trees '!C98</f>
        <v>Skyline Honeylocust</v>
      </c>
      <c r="C276" s="42" t="str">
        <f ca="1">'Landscape Trees '!D98</f>
        <v>#10</v>
      </c>
      <c r="D276" s="42" t="str">
        <f ca="1">'Landscape Trees '!E98</f>
        <v>1.25-1.25"</v>
      </c>
      <c r="E276" s="42" t="str">
        <f ca="1">'Landscape Trees '!F98</f>
        <v>10-10'</v>
      </c>
      <c r="F276" s="52">
        <f ca="1">'Landscape Trees '!G98</f>
        <v>1</v>
      </c>
      <c r="G276" s="53">
        <f ca="1">'Landscape Trees '!H98*0.9</f>
        <v>90</v>
      </c>
      <c r="H276" s="51" t="str">
        <f t="shared" ca="1" si="3"/>
        <v>Skyline Honeylocust #10-2021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Gleditsia triacanthos 'Skyline'</v>
      </c>
      <c r="B277" s="51" t="str">
        <f ca="1">'Landscape Trees '!C99</f>
        <v>Skyline Honeylocust</v>
      </c>
      <c r="C277" s="42" t="str">
        <f ca="1">'Landscape Trees '!D99</f>
        <v>#15</v>
      </c>
      <c r="D277" s="42" t="str">
        <f ca="1">'Landscape Trees '!E99</f>
        <v>1-1.5"</v>
      </c>
      <c r="E277" s="42" t="str">
        <f ca="1">'Landscape Trees '!F99</f>
        <v>10-14'</v>
      </c>
      <c r="F277" s="52">
        <f ca="1">'Landscape Trees '!G99</f>
        <v>25</v>
      </c>
      <c r="G277" s="66">
        <f ca="1">'Landscape Trees '!H99*0.9</f>
        <v>121.5</v>
      </c>
      <c r="H277" s="51" t="str">
        <f t="shared" ca="1" si="3"/>
        <v>Skyline Honeylocust #15-2021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Gymnocladus dioicus</v>
      </c>
      <c r="B278" s="51" t="str">
        <f ca="1">'Landscape Trees '!C100</f>
        <v>Kentucky Coffeetree</v>
      </c>
      <c r="C278" s="42" t="str">
        <f ca="1">'Landscape Trees '!D100</f>
        <v>#5</v>
      </c>
      <c r="D278" s="42" t="str">
        <f ca="1">'Landscape Trees '!E100</f>
        <v>0.5-1.25"</v>
      </c>
      <c r="E278" s="42" t="str">
        <f ca="1">'Landscape Trees '!F100</f>
        <v>4-7'</v>
      </c>
      <c r="F278" s="52">
        <f ca="1">'Landscape Trees '!G100</f>
        <v>111</v>
      </c>
      <c r="G278" s="66">
        <f ca="1">'Landscape Trees '!H100*0.9</f>
        <v>36</v>
      </c>
      <c r="H278" s="51" t="str">
        <f t="shared" ca="1" si="3"/>
        <v>Kentucky Coffeetree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Gymnocladus dioicus</v>
      </c>
      <c r="B279" s="51" t="str">
        <f ca="1">'Landscape Trees '!C101</f>
        <v>Kentucky Coffeetree</v>
      </c>
      <c r="C279" s="42" t="str">
        <f ca="1">'Landscape Trees '!D101</f>
        <v>#15</v>
      </c>
      <c r="D279" s="42" t="str">
        <f ca="1">'Landscape Trees '!E101</f>
        <v>1-1.5"</v>
      </c>
      <c r="E279" s="42" t="str">
        <f ca="1">'Landscape Trees '!F101</f>
        <v>9-12'</v>
      </c>
      <c r="F279" s="52">
        <f ca="1">'Landscape Trees '!G101</f>
        <v>27</v>
      </c>
      <c r="G279" s="66">
        <f ca="1">'Landscape Trees '!H101*0.9</f>
        <v>121.5</v>
      </c>
      <c r="H279" s="51" t="str">
        <f t="shared" ca="1" si="3"/>
        <v>Kentucky Coffeetree #15-2021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Gymnocladus dioicus</v>
      </c>
      <c r="B280" s="51" t="str">
        <f ca="1">'Landscape Trees '!C102</f>
        <v>Kentucky Coffeetree</v>
      </c>
      <c r="C280" s="42" t="str">
        <f ca="1">'Landscape Trees '!D102</f>
        <v>#25</v>
      </c>
      <c r="D280" s="42" t="str">
        <f ca="1">'Landscape Trees '!E102</f>
        <v>1.5-1.5"</v>
      </c>
      <c r="E280" s="42" t="str">
        <f ca="1">'Landscape Trees '!F102</f>
        <v>11-11'</v>
      </c>
      <c r="F280" s="52">
        <f ca="1">'Landscape Trees '!G102</f>
        <v>1</v>
      </c>
      <c r="G280" s="66">
        <f ca="1">'Landscape Trees '!H102*0.9</f>
        <v>135</v>
      </c>
      <c r="H280" s="51" t="str">
        <f t="shared" ca="1" si="3"/>
        <v>Kentucky Coffeetree #25-2021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 xml:space="preserve">Gymnocladus dioicus </v>
      </c>
      <c r="B281" s="51" t="str">
        <f ca="1">'Landscape Trees '!C103</f>
        <v xml:space="preserve">Kentucky Coffeetree (Cultivar) </v>
      </c>
      <c r="C281" s="42" t="str">
        <f ca="1">'Landscape Trees '!D103</f>
        <v>#15</v>
      </c>
      <c r="D281" s="42" t="str">
        <f ca="1">'Landscape Trees '!E103</f>
        <v>1.25-1.25"</v>
      </c>
      <c r="E281" s="42" t="str">
        <f ca="1">'Landscape Trees '!F103</f>
        <v>11-14'</v>
      </c>
      <c r="F281" s="52">
        <f ca="1">'Landscape Trees '!G103</f>
        <v>3</v>
      </c>
      <c r="G281" s="66">
        <f ca="1">'Landscape Trees '!H103*0.9</f>
        <v>121.5</v>
      </c>
      <c r="H281" s="51" t="str">
        <f t="shared" ca="1" si="3"/>
        <v>Kentucky Coffeetree (Cultivar)  #15-2021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 xml:space="preserve">Gymnocladus dioicus </v>
      </c>
      <c r="B282" s="51" t="str">
        <f ca="1">'Landscape Trees '!C104</f>
        <v xml:space="preserve">Kentucky Coffeetree (Cultivar) </v>
      </c>
      <c r="C282" s="42" t="str">
        <f ca="1">'Landscape Trees '!D104</f>
        <v>#25</v>
      </c>
      <c r="D282" s="42" t="str">
        <f ca="1">'Landscape Trees '!E104</f>
        <v>1.25-1.5"</v>
      </c>
      <c r="E282" s="42" t="str">
        <f ca="1">'Landscape Trees '!F104</f>
        <v>11-14'</v>
      </c>
      <c r="F282" s="52">
        <f ca="1">'Landscape Trees '!G104</f>
        <v>4</v>
      </c>
      <c r="G282" s="66">
        <f ca="1">'Landscape Trees '!H104*0.9</f>
        <v>135</v>
      </c>
      <c r="H282" s="51" t="str">
        <f t="shared" ca="1" si="3"/>
        <v>Kentucky Coffeetree (Cultivar)  #25-2021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Hamamelis virginiana</v>
      </c>
      <c r="B283" s="51" t="str">
        <f ca="1">'Landscape Trees '!C105</f>
        <v>Witch Hazel</v>
      </c>
      <c r="C283" s="42" t="str">
        <f ca="1">'Landscape Trees '!D105</f>
        <v>#5</v>
      </c>
      <c r="D283" s="42" t="str">
        <f ca="1">'Landscape Trees '!E105</f>
        <v>0.25-0.25"</v>
      </c>
      <c r="E283" s="42" t="str">
        <f ca="1">'Landscape Trees '!F105</f>
        <v>2-4'</v>
      </c>
      <c r="F283" s="52">
        <f ca="1">'Landscape Trees '!G105</f>
        <v>56</v>
      </c>
      <c r="G283" s="66">
        <f ca="1">'Landscape Trees '!H105*0.9</f>
        <v>45</v>
      </c>
      <c r="H283" s="51" t="str">
        <f t="shared" ca="1" si="3"/>
        <v>Witch Hazel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Hydrangea que. 'Ruby slippers'</v>
      </c>
      <c r="B284" s="51" t="str">
        <f ca="1">'Landscape Trees '!C106</f>
        <v>Ruby Slippers Oakleaf Hydrangea</v>
      </c>
      <c r="C284" s="42" t="str">
        <f ca="1">'Landscape Trees '!D106</f>
        <v>#5</v>
      </c>
      <c r="D284" s="42" t="str">
        <f ca="1">'Landscape Trees '!E106</f>
        <v>Multi</v>
      </c>
      <c r="E284" s="42" t="str">
        <f ca="1">'Landscape Trees '!F106</f>
        <v>2-2.5'</v>
      </c>
      <c r="F284" s="52">
        <f ca="1">'Landscape Trees '!G106</f>
        <v>20</v>
      </c>
      <c r="G284" s="66">
        <f ca="1">'Landscape Trees '!H106*0.9</f>
        <v>33.300000000000004</v>
      </c>
      <c r="H284" s="51" t="str">
        <f t="shared" ca="1" si="3"/>
        <v>Ruby Slippers Oakleaf Hydrangea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Hydrangea que. 'Snow Queen'</v>
      </c>
      <c r="B285" s="51" t="str">
        <f ca="1">'Landscape Trees '!C107</f>
        <v>Snow Queen Oakleaf Hydrangea</v>
      </c>
      <c r="C285" s="42" t="str">
        <f ca="1">'Landscape Trees '!D107</f>
        <v>#5</v>
      </c>
      <c r="D285" s="42" t="str">
        <f ca="1">'Landscape Trees '!E107</f>
        <v>Multi</v>
      </c>
      <c r="E285" s="42" t="str">
        <f ca="1">'Landscape Trees '!F107</f>
        <v>3-4'</v>
      </c>
      <c r="F285" s="52">
        <f ca="1">'Landscape Trees '!G107</f>
        <v>49</v>
      </c>
      <c r="G285" s="66">
        <f ca="1">'Landscape Trees '!H107*0.9</f>
        <v>33.300000000000004</v>
      </c>
      <c r="H285" s="51" t="str">
        <f t="shared" ca="1" si="3"/>
        <v>Snow Queen Oakleaf Hydrangea #5-2021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Ilex glabra</v>
      </c>
      <c r="B286" s="51" t="str">
        <f ca="1">'Landscape Trees '!C108</f>
        <v>Inkberry</v>
      </c>
      <c r="C286" s="42" t="str">
        <f ca="1">'Landscape Trees '!D108</f>
        <v>#5</v>
      </c>
      <c r="D286" s="42" t="str">
        <f ca="1">'Landscape Trees '!E108</f>
        <v>Multi</v>
      </c>
      <c r="E286" s="42" t="str">
        <f ca="1">'Landscape Trees '!F108</f>
        <v>1-2.5'</v>
      </c>
      <c r="F286" s="52">
        <f ca="1">'Landscape Trees '!G108</f>
        <v>16</v>
      </c>
      <c r="G286" s="66">
        <f ca="1">'Landscape Trees '!H108*0.9</f>
        <v>33.300000000000004</v>
      </c>
      <c r="H286" s="51" t="str">
        <f t="shared" ca="1" si="3"/>
        <v>Inkberry #5-2021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Ilex glabra 'Shamrock'</v>
      </c>
      <c r="B287" s="51" t="str">
        <f ca="1">'Landscape Trees '!C109</f>
        <v>Shamrock Holly</v>
      </c>
      <c r="C287" s="42" t="str">
        <f ca="1">'Landscape Trees '!D109</f>
        <v>#5</v>
      </c>
      <c r="D287" s="42" t="str">
        <f ca="1">'Landscape Trees '!E109</f>
        <v>Multi</v>
      </c>
      <c r="E287" s="42" t="str">
        <f ca="1">'Landscape Trees '!F109</f>
        <v>1.5-1.5'</v>
      </c>
      <c r="F287" s="52">
        <f ca="1">'Landscape Trees '!G109</f>
        <v>1</v>
      </c>
      <c r="G287" s="66">
        <f ca="1">'Landscape Trees '!H109*0.9</f>
        <v>33.300000000000004</v>
      </c>
      <c r="H287" s="51" t="str">
        <f t="shared" ca="1" si="3"/>
        <v>Shamrock Holly #5-2021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Laburnum anagyroides</v>
      </c>
      <c r="B288" s="51" t="str">
        <f ca="1">'Landscape Trees '!C110</f>
        <v>Golden Chain Tree</v>
      </c>
      <c r="C288" s="42" t="str">
        <f ca="1">'Landscape Trees '!D110</f>
        <v>#5</v>
      </c>
      <c r="D288" s="42" t="str">
        <f ca="1">'Landscape Trees '!E110</f>
        <v>Multi</v>
      </c>
      <c r="E288" s="42" t="str">
        <f ca="1">'Landscape Trees '!F110</f>
        <v>6-6'</v>
      </c>
      <c r="F288" s="52">
        <f ca="1">'Landscape Trees '!G110</f>
        <v>1</v>
      </c>
      <c r="G288" s="66">
        <f ca="1">'Landscape Trees '!H110*0.9</f>
        <v>45</v>
      </c>
      <c r="H288" s="51" t="str">
        <f t="shared" ca="1" si="3"/>
        <v>Golden Chain Tree #5-2021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Liquidambar styraciflua</v>
      </c>
      <c r="B289" s="51" t="str">
        <f ca="1">'Landscape Trees '!C111</f>
        <v>Sweet Gum</v>
      </c>
      <c r="C289" s="42" t="str">
        <f ca="1">'Landscape Trees '!D111</f>
        <v>#5</v>
      </c>
      <c r="D289" s="42" t="str">
        <f ca="1">'Landscape Trees '!E111</f>
        <v>0.5-1"</v>
      </c>
      <c r="E289" s="42" t="str">
        <f ca="1">'Landscape Trees '!F111</f>
        <v>4-7'</v>
      </c>
      <c r="F289" s="52">
        <f ca="1">'Landscape Trees '!G111</f>
        <v>100</v>
      </c>
      <c r="G289" s="66">
        <f ca="1">'Landscape Trees '!H111*0.9</f>
        <v>45</v>
      </c>
      <c r="H289" s="51" t="str">
        <f t="shared" ca="1" si="3"/>
        <v>Sweet Gum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Liquidambar styraciflua 'Hapdell' Happidaze</v>
      </c>
      <c r="B290" s="51" t="str">
        <f ca="1">'Landscape Trees '!C112</f>
        <v>Happidaze Sweetgum</v>
      </c>
      <c r="C290" s="42" t="str">
        <f ca="1">'Landscape Trees '!D112</f>
        <v>#10</v>
      </c>
      <c r="D290" s="42" t="str">
        <f ca="1">'Landscape Trees '!E112</f>
        <v>0.75-1.25"</v>
      </c>
      <c r="E290" s="42" t="str">
        <f ca="1">'Landscape Trees '!F112</f>
        <v>5-7'</v>
      </c>
      <c r="F290" s="52">
        <f ca="1">'Landscape Trees '!G112</f>
        <v>6</v>
      </c>
      <c r="G290" s="66">
        <f ca="1">'Landscape Trees '!H112*0.9</f>
        <v>90</v>
      </c>
      <c r="H290" s="51" t="str">
        <f t="shared" ca="1" si="3"/>
        <v>Happidaze Sweetgum #10-2021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Liquidambar styraciflua 'Silver King'</v>
      </c>
      <c r="B291" s="51" t="str">
        <f ca="1">'Landscape Trees '!C113</f>
        <v>Silver King Sweet Gum</v>
      </c>
      <c r="C291" s="42" t="str">
        <f ca="1">'Landscape Trees '!D113</f>
        <v>#10</v>
      </c>
      <c r="D291" s="42" t="str">
        <f ca="1">'Landscape Trees '!E113</f>
        <v>1-1.25"</v>
      </c>
      <c r="E291" s="42" t="str">
        <f ca="1">'Landscape Trees '!F113</f>
        <v>6-7'</v>
      </c>
      <c r="F291" s="52">
        <f ca="1">'Landscape Trees '!G113</f>
        <v>9</v>
      </c>
      <c r="G291" s="66">
        <f ca="1">'Landscape Trees '!H113*0.9</f>
        <v>90</v>
      </c>
      <c r="H291" s="51" t="str">
        <f t="shared" ca="1" si="3"/>
        <v>Silver King Sweet Gum #10-2021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Liquidambar styraciflua 'Worplesdon'</v>
      </c>
      <c r="B292" s="51" t="str">
        <f ca="1">'Landscape Trees '!C114</f>
        <v>Worplesdon Sweetgum</v>
      </c>
      <c r="C292" s="42" t="str">
        <f ca="1">'Landscape Trees '!D114</f>
        <v>#15</v>
      </c>
      <c r="D292" s="42" t="str">
        <f ca="1">'Landscape Trees '!E114</f>
        <v>1.25-1.25"</v>
      </c>
      <c r="E292" s="42" t="str">
        <f ca="1">'Landscape Trees '!F114</f>
        <v>8-8.5'</v>
      </c>
      <c r="F292" s="52">
        <f ca="1">'Landscape Trees '!G114</f>
        <v>2</v>
      </c>
      <c r="G292" s="66">
        <f ca="1">'Landscape Trees '!H114*0.9</f>
        <v>121.5</v>
      </c>
      <c r="H292" s="51" t="str">
        <f t="shared" ca="1" si="3"/>
        <v>Worplesdon Sweetgum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Liriodendron tulipifera</v>
      </c>
      <c r="B293" s="51" t="str">
        <f ca="1">'Landscape Trees '!C115</f>
        <v>Tulip Poplar</v>
      </c>
      <c r="C293" s="42" t="str">
        <f ca="1">'Landscape Trees '!D115</f>
        <v>#5</v>
      </c>
      <c r="D293" s="42" t="str">
        <f ca="1">'Landscape Trees '!E115</f>
        <v>0.5-1"</v>
      </c>
      <c r="E293" s="42" t="str">
        <f ca="1">'Landscape Trees '!F115</f>
        <v>4-9'</v>
      </c>
      <c r="F293" s="52">
        <f ca="1">'Landscape Trees '!G115</f>
        <v>104</v>
      </c>
      <c r="G293" s="66">
        <f ca="1">'Landscape Trees '!H115*0.9</f>
        <v>45</v>
      </c>
      <c r="H293" s="51" t="str">
        <f t="shared" ca="1" si="3"/>
        <v>Tulip Poplar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Magnolia 'Galaxy'</v>
      </c>
      <c r="B294" s="51" t="str">
        <f ca="1">'Landscape Trees '!C116</f>
        <v>Galaxy Magnolia</v>
      </c>
      <c r="C294" s="42" t="str">
        <f ca="1">'Landscape Trees '!D116</f>
        <v>#5</v>
      </c>
      <c r="D294" s="42" t="str">
        <f ca="1">'Landscape Trees '!E116</f>
        <v>0.5-0.75"</v>
      </c>
      <c r="E294" s="42" t="str">
        <f ca="1">'Landscape Trees '!F116</f>
        <v>4-5'</v>
      </c>
      <c r="F294" s="52">
        <f ca="1">'Landscape Trees '!G116</f>
        <v>12</v>
      </c>
      <c r="G294" s="66">
        <f ca="1">'Landscape Trees '!H116*0.9</f>
        <v>63</v>
      </c>
      <c r="H294" s="51" t="str">
        <f t="shared" ca="1" si="3"/>
        <v>Galaxy Magnolia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Magnolia ashei</v>
      </c>
      <c r="B295" s="51" t="str">
        <f ca="1">'Landscape Trees '!C117</f>
        <v>Ashe's Magnolia</v>
      </c>
      <c r="C295" s="42" t="str">
        <f ca="1">'Landscape Trees '!D117</f>
        <v>#5</v>
      </c>
      <c r="D295" s="42" t="str">
        <f ca="1">'Landscape Trees '!E117</f>
        <v>0.5-0.5"</v>
      </c>
      <c r="E295" s="42" t="str">
        <f ca="1">'Landscape Trees '!F117</f>
        <v>2-5'</v>
      </c>
      <c r="F295" s="52">
        <f ca="1">'Landscape Trees '!G117</f>
        <v>21</v>
      </c>
      <c r="G295" s="66">
        <f ca="1">'Landscape Trees '!H117*0.9</f>
        <v>45</v>
      </c>
      <c r="H295" s="51" t="str">
        <f t="shared" ca="1" si="3"/>
        <v>Ashe's Magnolia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Magnolia macrophylla</v>
      </c>
      <c r="B296" s="51" t="str">
        <f ca="1">'Landscape Trees '!C118</f>
        <v>Bigleaf Magnolia</v>
      </c>
      <c r="C296" s="42" t="str">
        <f ca="1">'Landscape Trees '!D118</f>
        <v>#5</v>
      </c>
      <c r="D296" s="42" t="str">
        <f ca="1">'Landscape Trees '!E118</f>
        <v>0.25-0.5"</v>
      </c>
      <c r="E296" s="42" t="str">
        <f ca="1">'Landscape Trees '!F118</f>
        <v>2-4'</v>
      </c>
      <c r="F296" s="52">
        <f ca="1">'Landscape Trees '!G118</f>
        <v>26</v>
      </c>
      <c r="G296" s="66">
        <f ca="1">'Landscape Trees '!H118*0.9</f>
        <v>63</v>
      </c>
      <c r="H296" s="51" t="str">
        <f t="shared" ca="1" si="3"/>
        <v>Bigleaf Magnolia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Magnolia virginiana</v>
      </c>
      <c r="B297" s="51" t="str">
        <f ca="1">'Landscape Trees '!C119</f>
        <v>Sweet Bay Magnolia</v>
      </c>
      <c r="C297" s="42" t="str">
        <f ca="1">'Landscape Trees '!D119</f>
        <v>#5</v>
      </c>
      <c r="D297" s="42" t="str">
        <f ca="1">'Landscape Trees '!E119</f>
        <v>0.5-1"</v>
      </c>
      <c r="E297" s="42" t="str">
        <f ca="1">'Landscape Trees '!F119</f>
        <v>4-6'</v>
      </c>
      <c r="F297" s="52">
        <f ca="1">'Landscape Trees '!G119</f>
        <v>102</v>
      </c>
      <c r="G297" s="66">
        <f ca="1">'Landscape Trees '!H119*0.9</f>
        <v>45</v>
      </c>
      <c r="H297" s="51" t="str">
        <f t="shared" ca="1" si="3"/>
        <v>Sweet Bay Magnolia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Magnolia virginiana 'Moonglow'</v>
      </c>
      <c r="B298" s="51" t="str">
        <f ca="1">'Landscape Trees '!C120</f>
        <v>Moonglow Magnolia</v>
      </c>
      <c r="C298" s="42" t="str">
        <f ca="1">'Landscape Trees '!D120</f>
        <v>#5</v>
      </c>
      <c r="D298" s="42" t="str">
        <f ca="1">'Landscape Trees '!E120</f>
        <v>0.5-0.75"</v>
      </c>
      <c r="E298" s="42" t="str">
        <f ca="1">'Landscape Trees '!F120</f>
        <v>3-6'</v>
      </c>
      <c r="F298" s="52">
        <f ca="1">'Landscape Trees '!G120</f>
        <v>17</v>
      </c>
      <c r="G298" s="66">
        <f ca="1">'Landscape Trees '!H120*0.9</f>
        <v>45</v>
      </c>
      <c r="H298" s="51" t="str">
        <f t="shared" ca="1" si="3"/>
        <v>Moonglow Magnolia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Magnolia x 'Ann'</v>
      </c>
      <c r="B299" s="51" t="str">
        <f ca="1">'Landscape Trees '!C121</f>
        <v>Ann Magnolia</v>
      </c>
      <c r="C299" s="42" t="str">
        <f ca="1">'Landscape Trees '!D121</f>
        <v>#5</v>
      </c>
      <c r="D299" s="42" t="str">
        <f ca="1">'Landscape Trees '!E121</f>
        <v>Multi</v>
      </c>
      <c r="E299" s="42" t="str">
        <f ca="1">'Landscape Trees '!F121</f>
        <v>4-5'</v>
      </c>
      <c r="F299" s="52">
        <f ca="1">'Landscape Trees '!G121</f>
        <v>6</v>
      </c>
      <c r="G299" s="66">
        <f ca="1">'Landscape Trees '!H121*0.9</f>
        <v>63</v>
      </c>
      <c r="H299" s="51" t="str">
        <f t="shared" ca="1" si="3"/>
        <v>Ann Magnolia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Magnolia x 'Jane'</v>
      </c>
      <c r="B300" s="51" t="str">
        <f ca="1">'Landscape Trees '!C122</f>
        <v>Jane Magnolia</v>
      </c>
      <c r="C300" s="42" t="str">
        <f ca="1">'Landscape Trees '!D122</f>
        <v>#5</v>
      </c>
      <c r="D300" s="42" t="str">
        <f ca="1">'Landscape Trees '!E122</f>
        <v>0.5-0.75"</v>
      </c>
      <c r="E300" s="42" t="str">
        <f ca="1">'Landscape Trees '!F122</f>
        <v>4-5'</v>
      </c>
      <c r="F300" s="52">
        <f ca="1">'Landscape Trees '!G122</f>
        <v>11</v>
      </c>
      <c r="G300" s="66">
        <f ca="1">'Landscape Trees '!H122*0.9</f>
        <v>63</v>
      </c>
      <c r="H300" s="51" t="str">
        <f t="shared" ca="1" si="3"/>
        <v>Jane Magnolia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Malus 'Prairifire'</v>
      </c>
      <c r="B301" s="51" t="str">
        <f ca="1">'Landscape Trees '!C123</f>
        <v>Prairifire Crabapple</v>
      </c>
      <c r="C301" s="42" t="str">
        <f ca="1">'Landscape Trees '!D123</f>
        <v>#5</v>
      </c>
      <c r="D301" s="42" t="str">
        <f ca="1">'Landscape Trees '!E123</f>
        <v>0.75-1"</v>
      </c>
      <c r="E301" s="42" t="str">
        <f ca="1">'Landscape Trees '!F123</f>
        <v>6-7'</v>
      </c>
      <c r="F301" s="52">
        <f ca="1">'Landscape Trees '!G123</f>
        <v>12</v>
      </c>
      <c r="G301" s="66">
        <f ca="1">'Landscape Trees '!H123*0.9</f>
        <v>45</v>
      </c>
      <c r="H301" s="51" t="str">
        <f t="shared" ca="1" si="3"/>
        <v>Prairifire Crabapple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Malus 'Prairifire'</v>
      </c>
      <c r="B302" s="51" t="str">
        <f ca="1">'Landscape Trees '!C124</f>
        <v>Prairifire Crabapple</v>
      </c>
      <c r="C302" s="42" t="str">
        <f ca="1">'Landscape Trees '!D124</f>
        <v>#15</v>
      </c>
      <c r="D302" s="42" t="str">
        <f ca="1">'Landscape Trees '!E124</f>
        <v>1-1.25"</v>
      </c>
      <c r="E302" s="42" t="str">
        <f ca="1">'Landscape Trees '!F124</f>
        <v>8-9'</v>
      </c>
      <c r="F302" s="52">
        <f ca="1">'Landscape Trees '!G124</f>
        <v>3</v>
      </c>
      <c r="G302" s="66">
        <f ca="1">'Landscape Trees '!H124*0.9</f>
        <v>121.5</v>
      </c>
      <c r="H302" s="51" t="str">
        <f t="shared" ca="1" si="3"/>
        <v>Prairifire Crabapple #15-2021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Malus 'Sugar Tyme'</v>
      </c>
      <c r="B303" s="51" t="str">
        <f ca="1">'Landscape Trees '!C125</f>
        <v>Sugar Tyme Crabapple</v>
      </c>
      <c r="C303" s="42" t="str">
        <f ca="1">'Landscape Trees '!D125</f>
        <v>#15</v>
      </c>
      <c r="D303" s="42" t="str">
        <f ca="1">'Landscape Trees '!E125</f>
        <v>1-1.25"</v>
      </c>
      <c r="E303" s="42" t="str">
        <f ca="1">'Landscape Trees '!F125</f>
        <v>8-10'</v>
      </c>
      <c r="F303" s="52">
        <f ca="1">'Landscape Trees '!G125</f>
        <v>16</v>
      </c>
      <c r="G303" s="66">
        <f ca="1">'Landscape Trees '!H125*0.9</f>
        <v>121.5</v>
      </c>
      <c r="H303" s="51" t="str">
        <f t="shared" ca="1" si="3"/>
        <v>Sugar Tyme Crabapple #15-2021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Malus dolgo</v>
      </c>
      <c r="B304" s="51" t="str">
        <f ca="1">'Landscape Trees '!C126</f>
        <v>Dolgo Crabapple</v>
      </c>
      <c r="C304" s="42" t="str">
        <f ca="1">'Landscape Trees '!D126</f>
        <v>#5</v>
      </c>
      <c r="D304" s="42" t="str">
        <f ca="1">'Landscape Trees '!E126</f>
        <v>0.5-0.75"</v>
      </c>
      <c r="E304" s="42" t="str">
        <f ca="1">'Landscape Trees '!F126</f>
        <v>4-7'</v>
      </c>
      <c r="F304" s="52">
        <f ca="1">'Landscape Trees '!G126</f>
        <v>29</v>
      </c>
      <c r="G304" s="66">
        <f ca="1">'Landscape Trees '!H126*0.9</f>
        <v>45</v>
      </c>
      <c r="H304" s="51" t="str">
        <f t="shared" ca="1" si="3"/>
        <v>Dolgo Crabapple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Metasequoia glyptostroboides</v>
      </c>
      <c r="B305" s="51" t="str">
        <f ca="1">'Landscape Trees '!C127</f>
        <v>Dawn Redwood</v>
      </c>
      <c r="C305" s="42" t="str">
        <f ca="1">'Landscape Trees '!D127</f>
        <v>#5</v>
      </c>
      <c r="D305" s="42" t="str">
        <f ca="1">'Landscape Trees '!E127</f>
        <v>1-1.75"</v>
      </c>
      <c r="E305" s="42" t="str">
        <f ca="1">'Landscape Trees '!F127</f>
        <v>5-10'</v>
      </c>
      <c r="F305" s="52">
        <f ca="1">'Landscape Trees '!G127</f>
        <v>215</v>
      </c>
      <c r="G305" s="53">
        <f ca="1">'Landscape Trees '!H127*0.9</f>
        <v>45</v>
      </c>
      <c r="H305" s="51" t="str">
        <f t="shared" ca="1" si="3"/>
        <v>Dawn Redwood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Metasequoia glyptostroboides</v>
      </c>
      <c r="B306" s="51" t="str">
        <f ca="1">'Landscape Trees '!C128</f>
        <v>Dawn Redwood</v>
      </c>
      <c r="C306" s="42" t="str">
        <f ca="1">'Landscape Trees '!D128</f>
        <v>#25</v>
      </c>
      <c r="D306" s="42" t="str">
        <f ca="1">'Landscape Trees '!E128</f>
        <v>1-1.5"</v>
      </c>
      <c r="E306" s="42" t="str">
        <f ca="1">'Landscape Trees '!F128</f>
        <v>7-9'</v>
      </c>
      <c r="F306" s="52">
        <f ca="1">'Landscape Trees '!G128</f>
        <v>10</v>
      </c>
      <c r="G306" s="66">
        <f ca="1">'Landscape Trees '!H128*0.9</f>
        <v>135</v>
      </c>
      <c r="H306" s="51" t="str">
        <f t="shared" ca="1" si="3"/>
        <v>Dawn Redwood #25-2021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Myrica pennsylvanica</v>
      </c>
      <c r="B307" s="51" t="str">
        <f ca="1">'Landscape Trees '!C129</f>
        <v>Bayberry</v>
      </c>
      <c r="C307" s="42" t="str">
        <f ca="1">'Landscape Trees '!D129</f>
        <v>#5</v>
      </c>
      <c r="D307" s="42" t="str">
        <f ca="1">'Landscape Trees '!E129</f>
        <v>Multi</v>
      </c>
      <c r="E307" s="42" t="str">
        <f ca="1">'Landscape Trees '!F129</f>
        <v>2-3'</v>
      </c>
      <c r="F307" s="52">
        <f ca="1">'Landscape Trees '!G129</f>
        <v>105</v>
      </c>
      <c r="G307" s="66">
        <f ca="1">'Landscape Trees '!H129*0.9</f>
        <v>33.300000000000004</v>
      </c>
      <c r="H307" s="51" t="str">
        <f t="shared" ca="1" si="3"/>
        <v>Bayberry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Nyssa sylvatica</v>
      </c>
      <c r="B308" s="51" t="str">
        <f ca="1">'Landscape Trees '!C130</f>
        <v>Black Gum</v>
      </c>
      <c r="C308" s="42" t="str">
        <f ca="1">'Landscape Trees '!D130</f>
        <v>#5</v>
      </c>
      <c r="D308" s="42" t="str">
        <f ca="1">'Landscape Trees '!E130</f>
        <v>0.25-1"</v>
      </c>
      <c r="E308" s="42" t="str">
        <f ca="1">'Landscape Trees '!F130</f>
        <v>3.5-5'</v>
      </c>
      <c r="F308" s="52">
        <f ca="1">'Landscape Trees '!G130</f>
        <v>206</v>
      </c>
      <c r="G308" s="66">
        <f ca="1">'Landscape Trees '!H130*0.9</f>
        <v>45</v>
      </c>
      <c r="H308" s="51" t="str">
        <f t="shared" ca="1" si="3"/>
        <v>Black Gum #5-2021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Nyssa sylvatica 'Green Gable'</v>
      </c>
      <c r="B309" s="51" t="str">
        <f ca="1">'Landscape Trees '!C131</f>
        <v>Green Gable Black Gum</v>
      </c>
      <c r="C309" s="42" t="str">
        <f ca="1">'Landscape Trees '!D131</f>
        <v>#5</v>
      </c>
      <c r="D309" s="42" t="str">
        <f ca="1">'Landscape Trees '!E131</f>
        <v>0.75-1"</v>
      </c>
      <c r="E309" s="42" t="str">
        <f ca="1">'Landscape Trees '!F131</f>
        <v>6.5-7.5'</v>
      </c>
      <c r="F309" s="52">
        <f ca="1">'Landscape Trees '!G131</f>
        <v>8</v>
      </c>
      <c r="G309" s="66">
        <f ca="1">'Landscape Trees '!H131*0.9</f>
        <v>63</v>
      </c>
      <c r="H309" s="51" t="str">
        <f t="shared" ca="1" si="3"/>
        <v>Green Gable Black Gum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Nyssa sylvatica 'Wildfire'</v>
      </c>
      <c r="B310" s="51" t="str">
        <f ca="1">'Landscape Trees '!C132</f>
        <v>Wildfire Black Gum</v>
      </c>
      <c r="C310" s="42" t="str">
        <f ca="1">'Landscape Trees '!D132</f>
        <v>#5</v>
      </c>
      <c r="D310" s="42" t="str">
        <f ca="1">'Landscape Trees '!E132</f>
        <v>0.75-0.75"</v>
      </c>
      <c r="E310" s="42" t="str">
        <f ca="1">'Landscape Trees '!F132</f>
        <v>5-6'</v>
      </c>
      <c r="F310" s="52">
        <f ca="1">'Landscape Trees '!G132</f>
        <v>1</v>
      </c>
      <c r="G310" s="66">
        <f ca="1">'Landscape Trees '!H132*0.9</f>
        <v>63</v>
      </c>
      <c r="H310" s="51" t="str">
        <f t="shared" ca="1" si="3"/>
        <v>Wildfire Black Gum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Ostrya virginiana</v>
      </c>
      <c r="B311" s="51" t="str">
        <f ca="1">'Landscape Trees '!C133</f>
        <v>American Hophornbeam</v>
      </c>
      <c r="C311" s="42" t="str">
        <f ca="1">'Landscape Trees '!D133</f>
        <v>#5</v>
      </c>
      <c r="D311" s="42" t="str">
        <f ca="1">'Landscape Trees '!E133</f>
        <v>0.75-1.25"</v>
      </c>
      <c r="E311" s="42" t="str">
        <f ca="1">'Landscape Trees '!F133</f>
        <v>6-12'</v>
      </c>
      <c r="F311" s="52">
        <f ca="1">'Landscape Trees '!G133</f>
        <v>99</v>
      </c>
      <c r="G311" s="66">
        <f ca="1">'Landscape Trees '!H133*0.9</f>
        <v>45</v>
      </c>
      <c r="H311" s="51" t="str">
        <f t="shared" ca="1" si="3"/>
        <v>American Hophornbeam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Oxydendrum arboreum</v>
      </c>
      <c r="B312" s="51" t="str">
        <f ca="1">'Landscape Trees '!C134</f>
        <v>Sourwood</v>
      </c>
      <c r="C312" s="42" t="str">
        <f ca="1">'Landscape Trees '!D134</f>
        <v>#5</v>
      </c>
      <c r="D312" s="42" t="str">
        <f ca="1">'Landscape Trees '!E134</f>
        <v>Multi</v>
      </c>
      <c r="E312" s="42" t="str">
        <f ca="1">'Landscape Trees '!F134</f>
        <v>2-6.5'</v>
      </c>
      <c r="F312" s="52">
        <f ca="1">'Landscape Trees '!G134</f>
        <v>201</v>
      </c>
      <c r="G312" s="66">
        <f ca="1">'Landscape Trees '!H134*0.9</f>
        <v>45</v>
      </c>
      <c r="H312" s="51" t="str">
        <f t="shared" ca="1" si="3"/>
        <v>Sourwood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Parrotia persica</v>
      </c>
      <c r="B313" s="51" t="str">
        <f ca="1">'Landscape Trees '!C135</f>
        <v>Persian Parrotia</v>
      </c>
      <c r="C313" s="42" t="str">
        <f ca="1">'Landscape Trees '!D135</f>
        <v>#5</v>
      </c>
      <c r="D313" s="42" t="str">
        <f ca="1">'Landscape Trees '!E135</f>
        <v>Multi</v>
      </c>
      <c r="E313" s="42" t="str">
        <f ca="1">'Landscape Trees '!F135</f>
        <v>3-6.5'</v>
      </c>
      <c r="F313" s="52">
        <f ca="1">'Landscape Trees '!G135</f>
        <v>48</v>
      </c>
      <c r="G313" s="66">
        <f ca="1">'Landscape Trees '!H135*0.9</f>
        <v>45</v>
      </c>
      <c r="H313" s="51" t="str">
        <f t="shared" ca="1" si="3"/>
        <v>Persian Parrotia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Picea abies</v>
      </c>
      <c r="B314" s="51" t="str">
        <f ca="1">'Landscape Trees '!C136</f>
        <v>Norway Spruce</v>
      </c>
      <c r="C314" s="42" t="str">
        <f ca="1">'Landscape Trees '!D136</f>
        <v>#5</v>
      </c>
      <c r="D314" s="42" t="str">
        <f ca="1">'Landscape Trees '!E136</f>
        <v>0.75-1.25"</v>
      </c>
      <c r="E314" s="42" t="str">
        <f ca="1">'Landscape Trees '!F136</f>
        <v>3-4'</v>
      </c>
      <c r="F314" s="52">
        <f ca="1">'Landscape Trees '!G136</f>
        <v>108</v>
      </c>
      <c r="G314" s="66">
        <f ca="1">'Landscape Trees '!H136*0.9</f>
        <v>45</v>
      </c>
      <c r="H314" s="51" t="str">
        <f t="shared" ca="1" si="3"/>
        <v>Norway Spruce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 xml:space="preserve">Pinus virginiana </v>
      </c>
      <c r="B315" s="51" t="str">
        <f ca="1">'Landscape Trees '!C137</f>
        <v>Virginia Pine</v>
      </c>
      <c r="C315" s="42" t="str">
        <f ca="1">'Landscape Trees '!D137</f>
        <v>#5</v>
      </c>
      <c r="D315" s="42" t="str">
        <f ca="1">'Landscape Trees '!E137</f>
        <v>0.5-1"</v>
      </c>
      <c r="E315" s="42" t="str">
        <f ca="1">'Landscape Trees '!F137</f>
        <v>2-3'</v>
      </c>
      <c r="F315" s="52">
        <f ca="1">'Landscape Trees '!G137</f>
        <v>14</v>
      </c>
      <c r="G315" s="66">
        <f ca="1">'Landscape Trees '!H137*0.9</f>
        <v>45</v>
      </c>
      <c r="H315" s="51" t="str">
        <f t="shared" ca="1" si="3"/>
        <v>Virginia Pine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Platanus x acerifolia 'Exclamation'</v>
      </c>
      <c r="B316" s="51" t="str">
        <f ca="1">'Landscape Trees '!C138</f>
        <v>Exclamation London Plane Tree</v>
      </c>
      <c r="C316" s="42" t="str">
        <f ca="1">'Landscape Trees '!D138</f>
        <v>#10</v>
      </c>
      <c r="D316" s="42" t="str">
        <f ca="1">'Landscape Trees '!E138</f>
        <v>1.5-1.75"</v>
      </c>
      <c r="E316" s="42" t="str">
        <f ca="1">'Landscape Trees '!F138</f>
        <v>12-13.5'</v>
      </c>
      <c r="F316" s="52">
        <f ca="1">'Landscape Trees '!G138</f>
        <v>2</v>
      </c>
      <c r="G316" s="66">
        <f ca="1">'Landscape Trees '!H138*0.9</f>
        <v>90</v>
      </c>
      <c r="H316" s="51" t="str">
        <f t="shared" ca="1" si="3"/>
        <v>Exclamation London Plane Tree #10-2021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Platanus x acerifolia 'Exclamation'</v>
      </c>
      <c r="B317" s="51" t="str">
        <f ca="1">'Landscape Trees '!C139</f>
        <v>Exclamation London Plane Tree</v>
      </c>
      <c r="C317" s="42" t="str">
        <f ca="1">'Landscape Trees '!D139</f>
        <v>#15</v>
      </c>
      <c r="D317" s="42" t="str">
        <f ca="1">'Landscape Trees '!E139</f>
        <v>1.25-1.5"</v>
      </c>
      <c r="E317" s="42" t="str">
        <f ca="1">'Landscape Trees '!F139</f>
        <v>10-12'</v>
      </c>
      <c r="F317" s="52">
        <f ca="1">'Landscape Trees '!G139</f>
        <v>4</v>
      </c>
      <c r="G317" s="66">
        <f ca="1">'Landscape Trees '!H139*0.9</f>
        <v>121.5</v>
      </c>
      <c r="H317" s="51" t="str">
        <f t="shared" ca="1" si="3"/>
        <v>Exclamation London Plane Tree #15-2021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Populus tremuloides</v>
      </c>
      <c r="B318" s="51" t="str">
        <f ca="1">'Landscape Trees '!C140</f>
        <v>Quaking Aspen</v>
      </c>
      <c r="C318" s="42" t="str">
        <f ca="1">'Landscape Trees '!D140</f>
        <v>#5</v>
      </c>
      <c r="D318" s="42" t="str">
        <f ca="1">'Landscape Trees '!E140</f>
        <v>0.5-0.75"</v>
      </c>
      <c r="E318" s="42" t="str">
        <f ca="1">'Landscape Trees '!F140</f>
        <v>4-7'</v>
      </c>
      <c r="F318" s="52">
        <f ca="1">'Landscape Trees '!G140</f>
        <v>26</v>
      </c>
      <c r="G318" s="66">
        <f ca="1">'Landscape Trees '!H140*0.9</f>
        <v>45</v>
      </c>
      <c r="H318" s="51" t="str">
        <f t="shared" ca="1" si="3"/>
        <v>Quaking Aspen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Populus tremuloides</v>
      </c>
      <c r="B319" s="51" t="str">
        <f ca="1">'Landscape Trees '!C141</f>
        <v>Quaking Aspen</v>
      </c>
      <c r="C319" s="42" t="str">
        <f ca="1">'Landscape Trees '!D141</f>
        <v>#15</v>
      </c>
      <c r="D319" s="42" t="str">
        <f ca="1">'Landscape Trees '!E141</f>
        <v>1-1.25"</v>
      </c>
      <c r="E319" s="42" t="str">
        <f ca="1">'Landscape Trees '!F141</f>
        <v>10-12'</v>
      </c>
      <c r="F319" s="52">
        <f ca="1">'Landscape Trees '!G141</f>
        <v>9</v>
      </c>
      <c r="G319" s="66">
        <f ca="1">'Landscape Trees '!H141*0.9</f>
        <v>121.5</v>
      </c>
      <c r="H319" s="51" t="str">
        <f t="shared" ca="1" si="3"/>
        <v>Quaking Aspen #15-2021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Prunus 'Autumnalis'</v>
      </c>
      <c r="B320" s="51" t="str">
        <f ca="1">'Landscape Trees '!C142</f>
        <v>Autumnalis Cherry</v>
      </c>
      <c r="C320" s="42" t="str">
        <f ca="1">'Landscape Trees '!D142</f>
        <v>#10</v>
      </c>
      <c r="D320" s="42" t="str">
        <f ca="1">'Landscape Trees '!E142</f>
        <v>1-1.25"</v>
      </c>
      <c r="E320" s="42" t="str">
        <f ca="1">'Landscape Trees '!F142</f>
        <v>7-10'</v>
      </c>
      <c r="F320" s="52">
        <f ca="1">'Landscape Trees '!G142</f>
        <v>21</v>
      </c>
      <c r="G320" s="66">
        <f ca="1">'Landscape Trees '!H142*0.9</f>
        <v>90</v>
      </c>
      <c r="H320" s="51" t="str">
        <f t="shared" ca="1" si="3"/>
        <v>Autumnalis Cherry #10-2021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Prunus 'Autumnalis'</v>
      </c>
      <c r="B321" s="51" t="str">
        <f ca="1">'Landscape Trees '!C143</f>
        <v>Autumnalis Cherry</v>
      </c>
      <c r="C321" s="42" t="str">
        <f ca="1">'Landscape Trees '!D143</f>
        <v>#15</v>
      </c>
      <c r="D321" s="42" t="str">
        <f ca="1">'Landscape Trees '!E143</f>
        <v>0.75-1"</v>
      </c>
      <c r="E321" s="42" t="str">
        <f ca="1">'Landscape Trees '!F143</f>
        <v>8-9'</v>
      </c>
      <c r="F321" s="52">
        <f ca="1">'Landscape Trees '!G143</f>
        <v>2</v>
      </c>
      <c r="G321" s="66">
        <f ca="1">'Landscape Trees '!H143*0.9</f>
        <v>121.5</v>
      </c>
      <c r="H321" s="51" t="str">
        <f t="shared" ca="1" si="3"/>
        <v>Autumnalis Cherry #15-2021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Prunus 'Mt. Fuji'</v>
      </c>
      <c r="B322" s="51" t="str">
        <f ca="1">'Landscape Trees '!C144</f>
        <v>Mt Fuji Cherry</v>
      </c>
      <c r="C322" s="42" t="str">
        <f ca="1">'Landscape Trees '!D144</f>
        <v>#15</v>
      </c>
      <c r="D322" s="42" t="str">
        <f ca="1">'Landscape Trees '!E144</f>
        <v>1.25-1.25"</v>
      </c>
      <c r="E322" s="42" t="str">
        <f ca="1">'Landscape Trees '!F144</f>
        <v>8-9'</v>
      </c>
      <c r="F322" s="52">
        <f ca="1">'Landscape Trees '!G144</f>
        <v>2</v>
      </c>
      <c r="G322" s="66">
        <f ca="1">'Landscape Trees '!H144*0.9</f>
        <v>121.5</v>
      </c>
      <c r="H322" s="51" t="str">
        <f t="shared" ca="1" si="3"/>
        <v>Mt Fuji Cherry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Prunus 'Okame'</v>
      </c>
      <c r="B323" s="51" t="str">
        <f ca="1">'Landscape Trees '!C145</f>
        <v>Okame Cherry</v>
      </c>
      <c r="C323" s="42" t="str">
        <f ca="1">'Landscape Trees '!D145</f>
        <v>#10</v>
      </c>
      <c r="D323" s="42" t="str">
        <f ca="1">'Landscape Trees '!E145</f>
        <v>0.75-1.75"</v>
      </c>
      <c r="E323" s="42" t="str">
        <f ca="1">'Landscape Trees '!F145</f>
        <v>6-14'</v>
      </c>
      <c r="F323" s="52">
        <f ca="1">'Landscape Trees '!G145</f>
        <v>29</v>
      </c>
      <c r="G323" s="66">
        <f ca="1">'Landscape Trees '!H145*0.9</f>
        <v>90</v>
      </c>
      <c r="H323" s="51" t="str">
        <f t="shared" ca="1" si="3"/>
        <v>Okame Cherry #10-2021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Prunus 'Okame'</v>
      </c>
      <c r="B324" s="51" t="str">
        <f ca="1">'Landscape Trees '!C146</f>
        <v>Okame Cherry</v>
      </c>
      <c r="C324" s="42" t="str">
        <f ca="1">'Landscape Trees '!D146</f>
        <v>#15</v>
      </c>
      <c r="D324" s="42" t="str">
        <f ca="1">'Landscape Trees '!E146</f>
        <v>0.75-1"</v>
      </c>
      <c r="E324" s="42" t="str">
        <f ca="1">'Landscape Trees '!F146</f>
        <v>8-11'</v>
      </c>
      <c r="F324" s="52">
        <f ca="1">'Landscape Trees '!G146</f>
        <v>2</v>
      </c>
      <c r="G324" s="53">
        <f ca="1">'Landscape Trees '!H146*0.9</f>
        <v>121.5</v>
      </c>
      <c r="H324" s="51" t="str">
        <f t="shared" ca="1" si="3"/>
        <v>Okame Cherry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Prunus × yedoensis</v>
      </c>
      <c r="B325" s="51" t="str">
        <f ca="1">'Landscape Trees '!C147</f>
        <v>Yoshino Cherry</v>
      </c>
      <c r="C325" s="42" t="str">
        <f ca="1">'Landscape Trees '!D147</f>
        <v>#15</v>
      </c>
      <c r="D325" s="42" t="str">
        <f ca="1">'Landscape Trees '!E147</f>
        <v>1-1.5"</v>
      </c>
      <c r="E325" s="42" t="str">
        <f ca="1">'Landscape Trees '!F147</f>
        <v>8-10'</v>
      </c>
      <c r="F325" s="52">
        <f ca="1">'Landscape Trees '!G147</f>
        <v>8</v>
      </c>
      <c r="G325" s="66">
        <f ca="1">'Landscape Trees '!H147*0.9</f>
        <v>121.5</v>
      </c>
      <c r="H325" s="51" t="str">
        <f t="shared" ca="1" si="3"/>
        <v>Yoshino Cherry #15-2021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Prunus americana</v>
      </c>
      <c r="B326" s="51" t="str">
        <f ca="1">'Landscape Trees '!C148</f>
        <v>American Plum</v>
      </c>
      <c r="C326" s="42" t="str">
        <f ca="1">'Landscape Trees '!D148</f>
        <v>#5</v>
      </c>
      <c r="D326" s="42" t="str">
        <f ca="1">'Landscape Trees '!E148</f>
        <v>0.25-0.75"</v>
      </c>
      <c r="E326" s="42" t="str">
        <f ca="1">'Landscape Trees '!F148</f>
        <v>4-5'</v>
      </c>
      <c r="F326" s="52">
        <f ca="1">'Landscape Trees '!G148</f>
        <v>23</v>
      </c>
      <c r="G326" s="66">
        <f ca="1">'Landscape Trees '!H148*0.9</f>
        <v>45</v>
      </c>
      <c r="H326" s="51" t="str">
        <f t="shared" ca="1" si="3"/>
        <v>American Plum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Prunus cerasifera 'Thundercloud'</v>
      </c>
      <c r="B327" s="51" t="str">
        <f ca="1">'Landscape Trees '!C149</f>
        <v>Thundercloud Plum</v>
      </c>
      <c r="C327" s="42" t="str">
        <f ca="1">'Landscape Trees '!D149</f>
        <v>#15</v>
      </c>
      <c r="D327" s="42" t="str">
        <f ca="1">'Landscape Trees '!E149</f>
        <v>1.5-1.5"</v>
      </c>
      <c r="E327" s="42" t="str">
        <f ca="1">'Landscape Trees '!F149</f>
        <v>10-11'</v>
      </c>
      <c r="F327" s="52">
        <f ca="1">'Landscape Trees '!G149</f>
        <v>9</v>
      </c>
      <c r="G327" s="66">
        <f ca="1">'Landscape Trees '!H149*0.9</f>
        <v>121.5</v>
      </c>
      <c r="H327" s="51" t="str">
        <f t="shared" ca="1" si="3"/>
        <v>Thundercloud Plum #15-2021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Prunus maritima</v>
      </c>
      <c r="B328" s="51" t="str">
        <f ca="1">'Landscape Trees '!C150</f>
        <v>Beach Plum</v>
      </c>
      <c r="C328" s="42" t="str">
        <f ca="1">'Landscape Trees '!D150</f>
        <v>#5</v>
      </c>
      <c r="D328" s="42" t="str">
        <f ca="1">'Landscape Trees '!E150</f>
        <v>0.75-0.75"</v>
      </c>
      <c r="E328" s="42" t="str">
        <f ca="1">'Landscape Trees '!F150</f>
        <v>5-7'</v>
      </c>
      <c r="F328" s="52">
        <f ca="1">'Landscape Trees '!G150</f>
        <v>11</v>
      </c>
      <c r="G328" s="66">
        <f ca="1">'Landscape Trees '!H150*0.9</f>
        <v>45</v>
      </c>
      <c r="H328" s="51" t="str">
        <f t="shared" ca="1" si="3"/>
        <v>Beach Plum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Prunus serrulata 'Kwanzan'</v>
      </c>
      <c r="B329" s="51" t="str">
        <f ca="1">'Landscape Trees '!C151</f>
        <v>Kwanzan Cherry</v>
      </c>
      <c r="C329" s="42" t="str">
        <f ca="1">'Landscape Trees '!D151</f>
        <v>#5</v>
      </c>
      <c r="D329" s="42" t="str">
        <f ca="1">'Landscape Trees '!E151</f>
        <v>0.5-1"</v>
      </c>
      <c r="E329" s="42" t="str">
        <f ca="1">'Landscape Trees '!F151</f>
        <v>3-7'</v>
      </c>
      <c r="F329" s="52">
        <f ca="1">'Landscape Trees '!G151</f>
        <v>17</v>
      </c>
      <c r="G329" s="66">
        <f ca="1">'Landscape Trees '!H151*0.9</f>
        <v>45</v>
      </c>
      <c r="H329" s="51" t="str">
        <f t="shared" ca="1" si="3"/>
        <v>Kwanzan Cherry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Prunus serrulata 'Kwanzan'</v>
      </c>
      <c r="B330" s="51" t="str">
        <f ca="1">'Landscape Trees '!C152</f>
        <v>Kwanzan Cherry</v>
      </c>
      <c r="C330" s="42" t="str">
        <f ca="1">'Landscape Trees '!D152</f>
        <v>#10</v>
      </c>
      <c r="D330" s="42" t="str">
        <f ca="1">'Landscape Trees '!E152</f>
        <v>0.75-1.75"</v>
      </c>
      <c r="E330" s="42" t="str">
        <f ca="1">'Landscape Trees '!F152</f>
        <v>7-10'</v>
      </c>
      <c r="F330" s="52">
        <f ca="1">'Landscape Trees '!G152</f>
        <v>22</v>
      </c>
      <c r="G330" s="66">
        <f ca="1">'Landscape Trees '!H152*0.9</f>
        <v>90</v>
      </c>
      <c r="H330" s="51" t="str">
        <f t="shared" ca="1" si="3"/>
        <v>Kwanzan Cherry #10-2021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Prunus serrulata 'Kwanzan'</v>
      </c>
      <c r="B331" s="51" t="str">
        <f ca="1">'Landscape Trees '!C153</f>
        <v>Kwanzan Cherry</v>
      </c>
      <c r="C331" s="42" t="str">
        <f ca="1">'Landscape Trees '!D153</f>
        <v>#15</v>
      </c>
      <c r="D331" s="42" t="str">
        <f ca="1">'Landscape Trees '!E153</f>
        <v>1.25-1.25"</v>
      </c>
      <c r="E331" s="42" t="str">
        <f ca="1">'Landscape Trees '!F153</f>
        <v>9-10'</v>
      </c>
      <c r="F331" s="52">
        <f ca="1">'Landscape Trees '!G153</f>
        <v>2</v>
      </c>
      <c r="G331" s="66">
        <f ca="1">'Landscape Trees '!H153*0.9</f>
        <v>121.5</v>
      </c>
      <c r="H331" s="51" t="str">
        <f t="shared" ca="1" si="3"/>
        <v>Kwanzan Cherry #15-2021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Prunus subhirtella 'Snow Fountains'</v>
      </c>
      <c r="B332" s="51" t="str">
        <f ca="1">'Landscape Trees '!C154</f>
        <v>Snow Fountains Cherry</v>
      </c>
      <c r="C332" s="42" t="str">
        <f ca="1">'Landscape Trees '!D154</f>
        <v>#15</v>
      </c>
      <c r="D332" s="42" t="str">
        <f ca="1">'Landscape Trees '!E154</f>
        <v>1.25-2"</v>
      </c>
      <c r="E332" s="42" t="str">
        <f ca="1">'Landscape Trees '!F154</f>
        <v>6-8'</v>
      </c>
      <c r="F332" s="52">
        <f ca="1">'Landscape Trees '!G154</f>
        <v>22</v>
      </c>
      <c r="G332" s="53">
        <f ca="1">'Landscape Trees '!H154*0.9</f>
        <v>121.5</v>
      </c>
      <c r="H332" s="51" t="str">
        <f t="shared" ca="1" si="3"/>
        <v>Snow Fountains Cherry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Prunus subhirtella 'Snow Fountains'</v>
      </c>
      <c r="B333" s="51" t="str">
        <f ca="1">'Landscape Trees '!C155</f>
        <v>Snow Fountains Cherry</v>
      </c>
      <c r="C333" s="42" t="str">
        <f ca="1">'Landscape Trees '!D155</f>
        <v>#25</v>
      </c>
      <c r="D333" s="42" t="str">
        <f ca="1">'Landscape Trees '!E155</f>
        <v>2.25-2.5"</v>
      </c>
      <c r="E333" s="42" t="str">
        <f ca="1">'Landscape Trees '!F155</f>
        <v>7-8'</v>
      </c>
      <c r="F333" s="52">
        <f ca="1">'Landscape Trees '!G155</f>
        <v>3</v>
      </c>
      <c r="G333" s="66">
        <f ca="1">'Landscape Trees '!H155*0.9</f>
        <v>135</v>
      </c>
      <c r="H333" s="51" t="str">
        <f t="shared" ca="1" si="3"/>
        <v>Snow Fountains Cherry #25-2021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Prunus subhirtella "Pendula plena rosea"</v>
      </c>
      <c r="B334" s="51" t="str">
        <f ca="1">'Landscape Trees '!C156</f>
        <v>Double Pink Weeping Cherry</v>
      </c>
      <c r="C334" s="42" t="str">
        <f ca="1">'Landscape Trees '!D156</f>
        <v>#15</v>
      </c>
      <c r="D334" s="42" t="str">
        <f ca="1">'Landscape Trees '!E156</f>
        <v>1.5-1.75"</v>
      </c>
      <c r="E334" s="42" t="str">
        <f ca="1">'Landscape Trees '!F156</f>
        <v>7-8'</v>
      </c>
      <c r="F334" s="52">
        <f ca="1">'Landscape Trees '!G156</f>
        <v>5</v>
      </c>
      <c r="G334" s="53">
        <f ca="1">'Landscape Trees '!H156*0.9</f>
        <v>121.5</v>
      </c>
      <c r="H334" s="51" t="str">
        <f t="shared" ca="1" si="3"/>
        <v>Double Pink Weeping Cherry #15-2021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Prunus virginiana 'Shubert Select'</v>
      </c>
      <c r="B335" s="51" t="str">
        <f ca="1">'Landscape Trees '!C157</f>
        <v>Canada Red Select Cherry</v>
      </c>
      <c r="C335" s="42" t="str">
        <f ca="1">'Landscape Trees '!D157</f>
        <v>#15</v>
      </c>
      <c r="D335" s="42" t="str">
        <f ca="1">'Landscape Trees '!E157</f>
        <v>1.25-1.25"</v>
      </c>
      <c r="E335" s="42" t="str">
        <f ca="1">'Landscape Trees '!F157</f>
        <v>12-12.5'</v>
      </c>
      <c r="F335" s="52">
        <f ca="1">'Landscape Trees '!G157</f>
        <v>1</v>
      </c>
      <c r="G335" s="66">
        <f ca="1">'Landscape Trees '!H157*0.9</f>
        <v>121.5</v>
      </c>
      <c r="H335" s="51" t="str">
        <f t="shared" ca="1" si="3"/>
        <v>Canada Red Select Cherry #15-2021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Quercus</v>
      </c>
      <c r="B336" s="51" t="str">
        <f ca="1">'Landscape Trees '!C158</f>
        <v xml:space="preserve">Mystery Oak (Red Oak Family) </v>
      </c>
      <c r="C336" s="42" t="str">
        <f ca="1">'Landscape Trees '!D158</f>
        <v>#5</v>
      </c>
      <c r="D336" s="42" t="str">
        <f ca="1">'Landscape Trees '!E158</f>
        <v>1-1.25"</v>
      </c>
      <c r="E336" s="42" t="str">
        <f ca="1">'Landscape Trees '!F158</f>
        <v>6-9'</v>
      </c>
      <c r="F336" s="52">
        <f ca="1">'Landscape Trees '!G158</f>
        <v>2</v>
      </c>
      <c r="G336" s="66">
        <f ca="1">'Landscape Trees '!H158*0.9</f>
        <v>49.5</v>
      </c>
      <c r="H336" s="51" t="str">
        <f t="shared" ca="1" si="3"/>
        <v>Mystery Oak (Red Oak Family) 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Quercus</v>
      </c>
      <c r="B337" s="51" t="str">
        <f ca="1">'Landscape Trees '!C159</f>
        <v xml:space="preserve">Mystery Oak (Red Oak Family) </v>
      </c>
      <c r="C337" s="42" t="str">
        <f ca="1">'Landscape Trees '!D159</f>
        <v>#7</v>
      </c>
      <c r="D337" s="42" t="str">
        <f ca="1">'Landscape Trees '!E159</f>
        <v>1-1.25"</v>
      </c>
      <c r="E337" s="42" t="str">
        <f ca="1">'Landscape Trees '!F159</f>
        <v>8-9'</v>
      </c>
      <c r="F337" s="52">
        <f ca="1">'Landscape Trees '!G159</f>
        <v>2</v>
      </c>
      <c r="G337" s="66">
        <f ca="1">'Landscape Trees '!H159*0.9</f>
        <v>63</v>
      </c>
      <c r="H337" s="51" t="str">
        <f t="shared" ca="1" si="3"/>
        <v>Mystery Oak (Red Oak Family)  #7-2021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Quercus 'Kindred Spirit'</v>
      </c>
      <c r="B338" s="51" t="str">
        <f ca="1">'Landscape Trees '!C160</f>
        <v>Kindred Spirit Oak</v>
      </c>
      <c r="C338" s="42" t="str">
        <f ca="1">'Landscape Trees '!D160</f>
        <v>#5</v>
      </c>
      <c r="D338" s="42" t="str">
        <f ca="1">'Landscape Trees '!E160</f>
        <v>1.25-1.25"</v>
      </c>
      <c r="E338" s="42" t="str">
        <f ca="1">'Landscape Trees '!F160</f>
        <v>9-9'</v>
      </c>
      <c r="F338" s="52">
        <f ca="1">'Landscape Trees '!G160</f>
        <v>1</v>
      </c>
      <c r="G338" s="66">
        <f ca="1">'Landscape Trees '!H160*0.9</f>
        <v>63</v>
      </c>
      <c r="H338" s="51" t="str">
        <f t="shared" ca="1" si="3"/>
        <v>Kindred Spirit Oak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Quercus alba</v>
      </c>
      <c r="B339" s="51" t="str">
        <f ca="1">'Landscape Trees '!C161</f>
        <v>White Oak</v>
      </c>
      <c r="C339" s="42" t="str">
        <f ca="1">'Landscape Trees '!D161</f>
        <v>#5</v>
      </c>
      <c r="D339" s="42" t="str">
        <f ca="1">'Landscape Trees '!E161</f>
        <v>0.5-1"</v>
      </c>
      <c r="E339" s="42" t="str">
        <f ca="1">'Landscape Trees '!F161</f>
        <v>3-5'</v>
      </c>
      <c r="F339" s="52">
        <f ca="1">'Landscape Trees '!G161</f>
        <v>39</v>
      </c>
      <c r="G339" s="66">
        <f ca="1">'Landscape Trees '!H161*0.9</f>
        <v>45</v>
      </c>
      <c r="H339" s="51" t="str">
        <f t="shared" ca="1" si="3"/>
        <v>White Oak #5-2021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Quercus alba</v>
      </c>
      <c r="B340" s="51" t="str">
        <f ca="1">'Landscape Trees '!C162</f>
        <v>White Oak</v>
      </c>
      <c r="C340" s="42" t="str">
        <f ca="1">'Landscape Trees '!D162</f>
        <v>#7</v>
      </c>
      <c r="D340" s="42" t="str">
        <f ca="1">'Landscape Trees '!E162</f>
        <v>0.75-1"</v>
      </c>
      <c r="E340" s="42" t="str">
        <f ca="1">'Landscape Trees '!F162</f>
        <v>6-7'</v>
      </c>
      <c r="F340" s="52">
        <f ca="1">'Landscape Trees '!G162</f>
        <v>28</v>
      </c>
      <c r="G340" s="66">
        <f ca="1">'Landscape Trees '!H162*0.9</f>
        <v>63</v>
      </c>
      <c r="H340" s="51" t="str">
        <f t="shared" ca="1" si="3"/>
        <v>White Oak #7-2021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Quercus alba</v>
      </c>
      <c r="B341" s="51" t="str">
        <f ca="1">'Landscape Trees '!C163</f>
        <v>White Oak</v>
      </c>
      <c r="C341" s="42" t="str">
        <f ca="1">'Landscape Trees '!D163</f>
        <v>#10</v>
      </c>
      <c r="D341" s="42" t="str">
        <f ca="1">'Landscape Trees '!E163</f>
        <v>0.75-1.25"</v>
      </c>
      <c r="E341" s="42" t="str">
        <f ca="1">'Landscape Trees '!F163</f>
        <v>6-7'</v>
      </c>
      <c r="F341" s="52">
        <f ca="1">'Landscape Trees '!G163</f>
        <v>11</v>
      </c>
      <c r="G341" s="66">
        <f ca="1">'Landscape Trees '!H163*0.9</f>
        <v>90</v>
      </c>
      <c r="H341" s="51" t="str">
        <f t="shared" ca="1" si="3"/>
        <v>White Oak #10-2021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Quercus alba</v>
      </c>
      <c r="B342" s="51" t="str">
        <f ca="1">'Landscape Trees '!C164</f>
        <v>White Oak</v>
      </c>
      <c r="C342" s="42" t="str">
        <f ca="1">'Landscape Trees '!D164</f>
        <v>#15</v>
      </c>
      <c r="D342" s="42" t="str">
        <f ca="1">'Landscape Trees '!E164</f>
        <v>0.75-1.5"</v>
      </c>
      <c r="E342" s="42" t="str">
        <f ca="1">'Landscape Trees '!F164</f>
        <v>7-11'</v>
      </c>
      <c r="F342" s="52">
        <f ca="1">'Landscape Trees '!G164</f>
        <v>4</v>
      </c>
      <c r="G342" s="66">
        <f ca="1">'Landscape Trees '!H164*0.9</f>
        <v>121.5</v>
      </c>
      <c r="H342" s="51" t="str">
        <f t="shared" ca="1" si="3"/>
        <v>White Oak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Quercus bicolor</v>
      </c>
      <c r="B343" s="51" t="str">
        <f ca="1">'Landscape Trees '!C165</f>
        <v>Swamp White Oak</v>
      </c>
      <c r="C343" s="42" t="str">
        <f ca="1">'Landscape Trees '!D165</f>
        <v>#5</v>
      </c>
      <c r="D343" s="42" t="str">
        <f ca="1">'Landscape Trees '!E165</f>
        <v>0.5-1"</v>
      </c>
      <c r="E343" s="42" t="str">
        <f ca="1">'Landscape Trees '!F165</f>
        <v>4-8'</v>
      </c>
      <c r="F343" s="52">
        <f ca="1">'Landscape Trees '!G165</f>
        <v>413</v>
      </c>
      <c r="G343" s="66">
        <f ca="1">'Landscape Trees '!H165*0.9</f>
        <v>45</v>
      </c>
      <c r="H343" s="51" t="str">
        <f t="shared" ca="1" si="3"/>
        <v>Swamp White Oak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Quercus bicolor</v>
      </c>
      <c r="B344" s="51" t="str">
        <f ca="1">'Landscape Trees '!C166</f>
        <v>Swamp White Oak</v>
      </c>
      <c r="C344" s="42" t="str">
        <f ca="1">'Landscape Trees '!D166</f>
        <v>#10</v>
      </c>
      <c r="D344" s="42" t="str">
        <f ca="1">'Landscape Trees '!E166</f>
        <v>1-1.25"</v>
      </c>
      <c r="E344" s="42" t="str">
        <f ca="1">'Landscape Trees '!F166</f>
        <v>6-8'</v>
      </c>
      <c r="F344" s="52">
        <f ca="1">'Landscape Trees '!G166</f>
        <v>43</v>
      </c>
      <c r="G344" s="66">
        <f ca="1">'Landscape Trees '!H166*0.9</f>
        <v>90</v>
      </c>
      <c r="H344" s="51" t="str">
        <f t="shared" ca="1" si="3"/>
        <v>Swamp White Oak #10-2021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Quercus bicolor</v>
      </c>
      <c r="B345" s="51" t="str">
        <f ca="1">'Landscape Trees '!C167</f>
        <v>Swamp White Oak</v>
      </c>
      <c r="C345" s="42" t="str">
        <f ca="1">'Landscape Trees '!D167</f>
        <v>#15</v>
      </c>
      <c r="D345" s="42" t="str">
        <f ca="1">'Landscape Trees '!E167</f>
        <v>1.25-1.5"</v>
      </c>
      <c r="E345" s="42" t="str">
        <f ca="1">'Landscape Trees '!F167</f>
        <v>10-12'</v>
      </c>
      <c r="F345" s="52">
        <f ca="1">'Landscape Trees '!G167</f>
        <v>7</v>
      </c>
      <c r="G345" s="66">
        <f ca="1">'Landscape Trees '!H167*0.9</f>
        <v>121.5</v>
      </c>
      <c r="H345" s="51" t="str">
        <f t="shared" ca="1" si="3"/>
        <v>Swamp White Oak #15-2021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Quercus coccinea</v>
      </c>
      <c r="B346" s="51" t="str">
        <f ca="1">'Landscape Trees '!C168</f>
        <v>Scarlet Oak</v>
      </c>
      <c r="C346" s="42" t="str">
        <f ca="1">'Landscape Trees '!D168</f>
        <v>#5</v>
      </c>
      <c r="D346" s="42" t="str">
        <f ca="1">'Landscape Trees '!E168</f>
        <v>1-1"</v>
      </c>
      <c r="E346" s="42" t="str">
        <f ca="1">'Landscape Trees '!F168</f>
        <v>7.5-7.5'</v>
      </c>
      <c r="F346" s="52">
        <f ca="1">'Landscape Trees '!G168</f>
        <v>1</v>
      </c>
      <c r="G346" s="66">
        <f ca="1">'Landscape Trees '!H168*0.9</f>
        <v>45</v>
      </c>
      <c r="H346" s="51" t="str">
        <f t="shared" ca="1" si="3"/>
        <v>Scarlet Oak #5-2021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Quercus hemisphaerica</v>
      </c>
      <c r="B347" s="51" t="str">
        <f ca="1">'Landscape Trees '!C169</f>
        <v>Laurel Oak</v>
      </c>
      <c r="C347" s="42" t="str">
        <f ca="1">'Landscape Trees '!D169</f>
        <v>#5</v>
      </c>
      <c r="D347" s="42" t="str">
        <f ca="1">'Landscape Trees '!E169</f>
        <v>0.5-1"</v>
      </c>
      <c r="E347" s="42" t="str">
        <f ca="1">'Landscape Trees '!F169</f>
        <v>3.5-6.5'</v>
      </c>
      <c r="F347" s="52">
        <f ca="1">'Landscape Trees '!G169</f>
        <v>1</v>
      </c>
      <c r="G347" s="66">
        <f ca="1">'Landscape Trees '!H169*0.9</f>
        <v>45</v>
      </c>
      <c r="H347" s="51" t="str">
        <f t="shared" ca="1" si="3"/>
        <v>Laurel Oak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Quercus imbricaria</v>
      </c>
      <c r="B348" s="51" t="str">
        <f ca="1">'Landscape Trees '!C170</f>
        <v>Shingle Oak</v>
      </c>
      <c r="C348" s="42" t="str">
        <f ca="1">'Landscape Trees '!D170</f>
        <v>#5</v>
      </c>
      <c r="D348" s="42" t="str">
        <f ca="1">'Landscape Trees '!E170</f>
        <v>0.25-0.75"</v>
      </c>
      <c r="E348" s="42" t="str">
        <f ca="1">'Landscape Trees '!F170</f>
        <v>3-5'</v>
      </c>
      <c r="F348" s="52">
        <f ca="1">'Landscape Trees '!G170</f>
        <v>5</v>
      </c>
      <c r="G348" s="66">
        <f ca="1">'Landscape Trees '!H170*0.9</f>
        <v>45</v>
      </c>
      <c r="H348" s="51" t="str">
        <f t="shared" ca="1" si="3"/>
        <v>Shingle Oak #5-2021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Quercus lyrata</v>
      </c>
      <c r="B349" s="51" t="str">
        <f ca="1">'Landscape Trees '!C171</f>
        <v>Overcup Oak</v>
      </c>
      <c r="C349" s="42" t="str">
        <f ca="1">'Landscape Trees '!D171</f>
        <v>#5</v>
      </c>
      <c r="D349" s="42" t="str">
        <f ca="1">'Landscape Trees '!E171</f>
        <v>0.25-1"</v>
      </c>
      <c r="E349" s="42" t="str">
        <f ca="1">'Landscape Trees '!F171</f>
        <v>3.5-6.5'</v>
      </c>
      <c r="F349" s="52">
        <f ca="1">'Landscape Trees '!G171</f>
        <v>27</v>
      </c>
      <c r="G349" s="66">
        <f ca="1">'Landscape Trees '!H171*0.9</f>
        <v>45</v>
      </c>
      <c r="H349" s="51" t="str">
        <f t="shared" ca="1" si="3"/>
        <v>Overcup Oak #5-2021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Quercus macrocarpa</v>
      </c>
      <c r="B350" s="51" t="str">
        <f ca="1">'Landscape Trees '!C172</f>
        <v>Bur Oak</v>
      </c>
      <c r="C350" s="42" t="str">
        <f ca="1">'Landscape Trees '!D172</f>
        <v>#5</v>
      </c>
      <c r="D350" s="42" t="str">
        <f ca="1">'Landscape Trees '!E172</f>
        <v>0.5-1"</v>
      </c>
      <c r="E350" s="42" t="str">
        <f ca="1">'Landscape Trees '!F172</f>
        <v>4-6'</v>
      </c>
      <c r="F350" s="52">
        <f ca="1">'Landscape Trees '!G172</f>
        <v>17</v>
      </c>
      <c r="G350" s="66">
        <f ca="1">'Landscape Trees '!H172*0.9</f>
        <v>45</v>
      </c>
      <c r="H350" s="51" t="str">
        <f t="shared" ca="1" si="3"/>
        <v>Bur Oak #5-2021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Quercus macrocarpa</v>
      </c>
      <c r="B351" s="51" t="str">
        <f ca="1">'Landscape Trees '!C173</f>
        <v>Bur Oak</v>
      </c>
      <c r="C351" s="42" t="str">
        <f ca="1">'Landscape Trees '!D173</f>
        <v>#10</v>
      </c>
      <c r="D351" s="42" t="str">
        <f ca="1">'Landscape Trees '!E173</f>
        <v>0.75-0.75"</v>
      </c>
      <c r="E351" s="42" t="str">
        <f ca="1">'Landscape Trees '!F173</f>
        <v>4.5-5.5'</v>
      </c>
      <c r="F351" s="52">
        <f ca="1">'Landscape Trees '!G173</f>
        <v>4</v>
      </c>
      <c r="G351" s="66">
        <f ca="1">'Landscape Trees '!H173*0.9</f>
        <v>90</v>
      </c>
      <c r="H351" s="51" t="str">
        <f t="shared" ca="1" si="3"/>
        <v>Bur Oak #10-2021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Quercus macrocarpa</v>
      </c>
      <c r="B352" s="51" t="str">
        <f ca="1">'Landscape Trees '!C174</f>
        <v>Bur Oak</v>
      </c>
      <c r="C352" s="42" t="str">
        <f ca="1">'Landscape Trees '!D174</f>
        <v>#15</v>
      </c>
      <c r="D352" s="42" t="str">
        <f ca="1">'Landscape Trees '!E174</f>
        <v>1-1.25"</v>
      </c>
      <c r="E352" s="42" t="str">
        <f ca="1">'Landscape Trees '!F174</f>
        <v>9-10'</v>
      </c>
      <c r="F352" s="52">
        <f ca="1">'Landscape Trees '!G174</f>
        <v>7</v>
      </c>
      <c r="G352" s="66">
        <f ca="1">'Landscape Trees '!H174*0.9</f>
        <v>121.5</v>
      </c>
      <c r="H352" s="51" t="str">
        <f t="shared" ca="1" si="3"/>
        <v>Bur Oak #15-2021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Quercus macrocarpa</v>
      </c>
      <c r="B353" s="51" t="str">
        <f ca="1">'Landscape Trees '!C175</f>
        <v>Bur Oak</v>
      </c>
      <c r="C353" s="42" t="str">
        <f ca="1">'Landscape Trees '!D175</f>
        <v>#25</v>
      </c>
      <c r="D353" s="42" t="str">
        <f ca="1">'Landscape Trees '!E175</f>
        <v>1.25-1.75"</v>
      </c>
      <c r="E353" s="42" t="str">
        <f ca="1">'Landscape Trees '!F175</f>
        <v>10-14'</v>
      </c>
      <c r="F353" s="52">
        <f ca="1">'Landscape Trees '!G175</f>
        <v>5</v>
      </c>
      <c r="G353" s="66">
        <f ca="1">'Landscape Trees '!H175*0.9</f>
        <v>135</v>
      </c>
      <c r="H353" s="51" t="str">
        <f t="shared" ca="1" si="3"/>
        <v>Bur Oak #25-2021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Quercus marilandica</v>
      </c>
      <c r="B354" s="51" t="str">
        <f ca="1">'Landscape Trees '!C176</f>
        <v>Blackjack Oak</v>
      </c>
      <c r="C354" s="42" t="str">
        <f ca="1">'Landscape Trees '!D176</f>
        <v>#5</v>
      </c>
      <c r="D354" s="42" t="str">
        <f ca="1">'Landscape Trees '!E176</f>
        <v>0.25-0.75"</v>
      </c>
      <c r="E354" s="42" t="str">
        <f ca="1">'Landscape Trees '!F176</f>
        <v>3.5-5'</v>
      </c>
      <c r="F354" s="52">
        <f ca="1">'Landscape Trees '!G176</f>
        <v>11</v>
      </c>
      <c r="G354" s="66">
        <f ca="1">'Landscape Trees '!H176*0.9</f>
        <v>45</v>
      </c>
      <c r="H354" s="51" t="str">
        <f t="shared" ca="1" si="3"/>
        <v>Blackjack Oak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Quercus muehlenbergii</v>
      </c>
      <c r="B355" s="51" t="str">
        <f ca="1">'Landscape Trees '!C177</f>
        <v>Chinkapin Oak</v>
      </c>
      <c r="C355" s="42" t="str">
        <f ca="1">'Landscape Trees '!D177</f>
        <v>#15</v>
      </c>
      <c r="D355" s="42" t="str">
        <f ca="1">'Landscape Trees '!E177</f>
        <v>1-1.75"</v>
      </c>
      <c r="E355" s="42" t="str">
        <f ca="1">'Landscape Trees '!F177</f>
        <v>7-13'</v>
      </c>
      <c r="F355" s="52">
        <f ca="1">'Landscape Trees '!G177</f>
        <v>6</v>
      </c>
      <c r="G355" s="66">
        <f ca="1">'Landscape Trees '!H177*0.9</f>
        <v>121.5</v>
      </c>
      <c r="H355" s="51" t="str">
        <f t="shared" ca="1" si="3"/>
        <v>Chinkapin Oak #15-2021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Quercus palustris</v>
      </c>
      <c r="B356" s="51" t="str">
        <f ca="1">'Landscape Trees '!C178</f>
        <v>Pin Oak</v>
      </c>
      <c r="C356" s="42" t="str">
        <f ca="1">'Landscape Trees '!D178</f>
        <v>#5</v>
      </c>
      <c r="D356" s="42" t="str">
        <f ca="1">'Landscape Trees '!E178</f>
        <v>0.5-1.5"</v>
      </c>
      <c r="E356" s="42" t="str">
        <f ca="1">'Landscape Trees '!F178</f>
        <v>4-10'</v>
      </c>
      <c r="F356" s="52">
        <f ca="1">'Landscape Trees '!G178</f>
        <v>17</v>
      </c>
      <c r="G356" s="66">
        <f ca="1">'Landscape Trees '!H178*0.9</f>
        <v>45</v>
      </c>
      <c r="H356" s="51" t="str">
        <f t="shared" ca="1" si="3"/>
        <v>Pin Oak #5-2021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Quercus palustris</v>
      </c>
      <c r="B357" s="51" t="str">
        <f ca="1">'Landscape Trees '!C179</f>
        <v>Pin Oak</v>
      </c>
      <c r="C357" s="42" t="str">
        <f ca="1">'Landscape Trees '!D179</f>
        <v>#7</v>
      </c>
      <c r="D357" s="42" t="str">
        <f ca="1">'Landscape Trees '!E179</f>
        <v>1-1.75"</v>
      </c>
      <c r="E357" s="42" t="str">
        <f ca="1">'Landscape Trees '!F179</f>
        <v>7-14'</v>
      </c>
      <c r="F357" s="52">
        <f ca="1">'Landscape Trees '!G179</f>
        <v>16</v>
      </c>
      <c r="G357" s="66">
        <f ca="1">'Landscape Trees '!H179*0.9</f>
        <v>63</v>
      </c>
      <c r="H357" s="51" t="str">
        <f t="shared" ca="1" si="3"/>
        <v>Pin Oak #7-2021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Quercus palustris</v>
      </c>
      <c r="B358" s="51" t="str">
        <f ca="1">'Landscape Trees '!C180</f>
        <v>Pin Oak</v>
      </c>
      <c r="C358" s="42" t="str">
        <f ca="1">'Landscape Trees '!D180</f>
        <v>#10</v>
      </c>
      <c r="D358" s="42" t="str">
        <f ca="1">'Landscape Trees '!E180</f>
        <v>1-1.5"</v>
      </c>
      <c r="E358" s="42" t="str">
        <f ca="1">'Landscape Trees '!F180</f>
        <v>8-9'</v>
      </c>
      <c r="F358" s="52">
        <f ca="1">'Landscape Trees '!G180</f>
        <v>18</v>
      </c>
      <c r="G358" s="66">
        <f ca="1">'Landscape Trees '!H180*0.9</f>
        <v>90</v>
      </c>
      <c r="H358" s="51" t="str">
        <f t="shared" ca="1" si="3"/>
        <v>Pin Oak #10-2021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Quercus palustris</v>
      </c>
      <c r="B359" s="51" t="str">
        <f ca="1">'Landscape Trees '!C181</f>
        <v>Pin Oak</v>
      </c>
      <c r="C359" s="42" t="str">
        <f ca="1">'Landscape Trees '!D181</f>
        <v>#15</v>
      </c>
      <c r="D359" s="42" t="str">
        <f ca="1">'Landscape Trees '!E181</f>
        <v>1.25-1.5"</v>
      </c>
      <c r="E359" s="42" t="str">
        <f ca="1">'Landscape Trees '!F181</f>
        <v>10-11'</v>
      </c>
      <c r="F359" s="52">
        <f ca="1">'Landscape Trees '!G181</f>
        <v>6</v>
      </c>
      <c r="G359" s="66">
        <f ca="1">'Landscape Trees '!H181*0.9</f>
        <v>121.5</v>
      </c>
      <c r="H359" s="51" t="str">
        <f t="shared" ca="1" si="3"/>
        <v>Pin Oak #15-2021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 phellos</v>
      </c>
      <c r="B360" s="51" t="str">
        <f ca="1">'Landscape Trees '!C182</f>
        <v>Willow Oak</v>
      </c>
      <c r="C360" s="42" t="str">
        <f ca="1">'Landscape Trees '!D182</f>
        <v>#5</v>
      </c>
      <c r="D360" s="42" t="str">
        <f ca="1">'Landscape Trees '!E182</f>
        <v>0.5-1"</v>
      </c>
      <c r="E360" s="42" t="str">
        <f ca="1">'Landscape Trees '!F182</f>
        <v>3-7'</v>
      </c>
      <c r="F360" s="52">
        <f ca="1">'Landscape Trees '!G182</f>
        <v>125</v>
      </c>
      <c r="G360" s="66">
        <f ca="1">'Landscape Trees '!H182*0.9</f>
        <v>45</v>
      </c>
      <c r="H360" s="51" t="str">
        <f t="shared" ca="1" si="3"/>
        <v>Willow Oak #5-2021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phellos</v>
      </c>
      <c r="B361" s="51" t="str">
        <f ca="1">'Landscape Trees '!C183</f>
        <v>Willow Oak</v>
      </c>
      <c r="C361" s="42" t="str">
        <f ca="1">'Landscape Trees '!D183</f>
        <v>#7</v>
      </c>
      <c r="D361" s="42" t="str">
        <f ca="1">'Landscape Trees '!E183</f>
        <v>0.75-1"</v>
      </c>
      <c r="E361" s="42" t="str">
        <f ca="1">'Landscape Trees '!F183</f>
        <v>6-7'</v>
      </c>
      <c r="F361" s="52">
        <f ca="1">'Landscape Trees '!G183</f>
        <v>5</v>
      </c>
      <c r="G361" s="66">
        <f ca="1">'Landscape Trees '!H183*0.9</f>
        <v>63</v>
      </c>
      <c r="H361" s="51" t="str">
        <f t="shared" ca="1" si="3"/>
        <v>Willow Oak #7-2021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phellos</v>
      </c>
      <c r="B362" s="51" t="str">
        <f ca="1">'Landscape Trees '!C184</f>
        <v>Willow Oak</v>
      </c>
      <c r="C362" s="42" t="str">
        <f ca="1">'Landscape Trees '!D184</f>
        <v>#15</v>
      </c>
      <c r="D362" s="42" t="str">
        <f ca="1">'Landscape Trees '!E184</f>
        <v>0.75-1"</v>
      </c>
      <c r="E362" s="42" t="str">
        <f ca="1">'Landscape Trees '!F184</f>
        <v>3-6'</v>
      </c>
      <c r="F362" s="52">
        <f ca="1">'Landscape Trees '!G184</f>
        <v>2</v>
      </c>
      <c r="G362" s="66">
        <f ca="1">'Landscape Trees '!H184*0.9</f>
        <v>121.5</v>
      </c>
      <c r="H362" s="51" t="str">
        <f t="shared" ca="1" si="3"/>
        <v>Willow Oak #15-2021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prinus</v>
      </c>
      <c r="B363" s="51" t="str">
        <f ca="1">'Landscape Trees '!C185</f>
        <v>Chestnut Oak</v>
      </c>
      <c r="C363" s="42" t="str">
        <f ca="1">'Landscape Trees '!D185</f>
        <v>#5</v>
      </c>
      <c r="D363" s="42" t="str">
        <f ca="1">'Landscape Trees '!E185</f>
        <v>0.5-0.75"</v>
      </c>
      <c r="E363" s="42" t="str">
        <f ca="1">'Landscape Trees '!F185</f>
        <v>4-6'</v>
      </c>
      <c r="F363" s="52">
        <f ca="1">'Landscape Trees '!G185</f>
        <v>4</v>
      </c>
      <c r="G363" s="66">
        <f ca="1">'Landscape Trees '!H185*0.9</f>
        <v>45</v>
      </c>
      <c r="H363" s="51" t="str">
        <f t="shared" ca="1" si="3"/>
        <v>Chestnut Oak #5-2021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rubra</v>
      </c>
      <c r="B364" s="51" t="str">
        <f ca="1">'Landscape Trees '!C186</f>
        <v>Red Oak</v>
      </c>
      <c r="C364" s="42" t="str">
        <f ca="1">'Landscape Trees '!D186</f>
        <v>#5</v>
      </c>
      <c r="D364" s="42" t="str">
        <f ca="1">'Landscape Trees '!E186</f>
        <v>0.5-0.75"</v>
      </c>
      <c r="E364" s="42" t="str">
        <f ca="1">'Landscape Trees '!F186</f>
        <v>3.5-5'</v>
      </c>
      <c r="F364" s="52">
        <f ca="1">'Landscape Trees '!G186</f>
        <v>5</v>
      </c>
      <c r="G364" s="66">
        <f ca="1">'Landscape Trees '!H186*0.9</f>
        <v>45</v>
      </c>
      <c r="H364" s="51" t="str">
        <f t="shared" ca="1" si="3"/>
        <v>Red Oak #5-2021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rubra</v>
      </c>
      <c r="B365" s="51" t="str">
        <f ca="1">'Landscape Trees '!C187</f>
        <v>Red Oak</v>
      </c>
      <c r="C365" s="42" t="str">
        <f ca="1">'Landscape Trees '!D187</f>
        <v>#10</v>
      </c>
      <c r="D365" s="42" t="str">
        <f ca="1">'Landscape Trees '!E187</f>
        <v>0.75-1"</v>
      </c>
      <c r="E365" s="42" t="str">
        <f ca="1">'Landscape Trees '!F187</f>
        <v>6-8'</v>
      </c>
      <c r="F365" s="52">
        <f ca="1">'Landscape Trees '!G187</f>
        <v>9</v>
      </c>
      <c r="G365" s="66">
        <f ca="1">'Landscape Trees '!H187*0.9</f>
        <v>90</v>
      </c>
      <c r="H365" s="51" t="str">
        <f t="shared" ca="1" si="3"/>
        <v>Red Oak #10-2021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rubra</v>
      </c>
      <c r="B366" s="51" t="str">
        <f ca="1">'Landscape Trees '!C188</f>
        <v>Red Oak</v>
      </c>
      <c r="C366" s="42" t="str">
        <f ca="1">'Landscape Trees '!D188</f>
        <v>#15</v>
      </c>
      <c r="D366" s="42" t="str">
        <f ca="1">'Landscape Trees '!E188</f>
        <v>1-2"</v>
      </c>
      <c r="E366" s="42" t="str">
        <f ca="1">'Landscape Trees '!F188</f>
        <v>10-11'</v>
      </c>
      <c r="F366" s="52">
        <f ca="1">'Landscape Trees '!G188</f>
        <v>4</v>
      </c>
      <c r="G366" s="66">
        <f ca="1">'Landscape Trees '!H188*0.9</f>
        <v>121.5</v>
      </c>
      <c r="H366" s="51" t="str">
        <f t="shared" ca="1" si="3"/>
        <v>Red Oak #15-2021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stellata</v>
      </c>
      <c r="B367" s="51" t="str">
        <f ca="1">'Landscape Trees '!C189</f>
        <v>Post Oak</v>
      </c>
      <c r="C367" s="42" t="str">
        <f ca="1">'Landscape Trees '!D189</f>
        <v>#5</v>
      </c>
      <c r="D367" s="42" t="str">
        <f ca="1">'Landscape Trees '!E189</f>
        <v>0.25-0.5"</v>
      </c>
      <c r="E367" s="42" t="str">
        <f ca="1">'Landscape Trees '!F189</f>
        <v>4-6'</v>
      </c>
      <c r="F367" s="52">
        <f ca="1">'Landscape Trees '!G189</f>
        <v>6</v>
      </c>
      <c r="G367" s="66">
        <f ca="1">'Landscape Trees '!H189*0.9</f>
        <v>49.5</v>
      </c>
      <c r="H367" s="51" t="str">
        <f t="shared" ca="1" si="3"/>
        <v>Post Oak #5-2021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x warei 'Regal Prince'</v>
      </c>
      <c r="B368" s="51" t="str">
        <f ca="1">'Landscape Trees '!C190</f>
        <v>Regal Prince Oak</v>
      </c>
      <c r="C368" s="42" t="str">
        <f ca="1">'Landscape Trees '!D190</f>
        <v>#5</v>
      </c>
      <c r="D368" s="42" t="str">
        <f ca="1">'Landscape Trees '!E190</f>
        <v>1.25-1.5"</v>
      </c>
      <c r="E368" s="42" t="str">
        <f ca="1">'Landscape Trees '!F190</f>
        <v>4-11'</v>
      </c>
      <c r="F368" s="52">
        <f ca="1">'Landscape Trees '!G190</f>
        <v>3</v>
      </c>
      <c r="G368" s="66">
        <f ca="1">'Landscape Trees '!H190*0.9</f>
        <v>63</v>
      </c>
      <c r="H368" s="51" t="str">
        <f t="shared" ca="1" si="3"/>
        <v>Regal Prince Oak #5-2021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x warei 'Regal Prince'</v>
      </c>
      <c r="B369" s="51" t="str">
        <f ca="1">'Landscape Trees '!C191</f>
        <v>Regal Prince Oak</v>
      </c>
      <c r="C369" s="42" t="str">
        <f ca="1">'Landscape Trees '!D191</f>
        <v>#15</v>
      </c>
      <c r="D369" s="42" t="str">
        <f ca="1">'Landscape Trees '!E191</f>
        <v>1.5-2"</v>
      </c>
      <c r="E369" s="42" t="str">
        <f ca="1">'Landscape Trees '!F191</f>
        <v>9-14'</v>
      </c>
      <c r="F369" s="52">
        <f ca="1">'Landscape Trees '!G191</f>
        <v>9</v>
      </c>
      <c r="G369" s="66">
        <f ca="1">'Landscape Trees '!H191*0.9</f>
        <v>121.5</v>
      </c>
      <c r="H369" s="51" t="str">
        <f t="shared" ca="1" si="3"/>
        <v>Regal Prince Oak #15-2021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Rhus aromatica</v>
      </c>
      <c r="B370" s="51" t="str">
        <f ca="1">'Landscape Trees '!C192</f>
        <v>Fragrant Sumac</v>
      </c>
      <c r="C370" s="42" t="str">
        <f ca="1">'Landscape Trees '!D192</f>
        <v>#5</v>
      </c>
      <c r="D370" s="42" t="str">
        <f ca="1">'Landscape Trees '!E192</f>
        <v>Multi</v>
      </c>
      <c r="E370" s="42" t="str">
        <f ca="1">'Landscape Trees '!F192</f>
        <v>4-5'</v>
      </c>
      <c r="F370" s="52">
        <f ca="1">'Landscape Trees '!G192</f>
        <v>12</v>
      </c>
      <c r="G370" s="66">
        <f ca="1">'Landscape Trees '!H192*0.9</f>
        <v>33.300000000000004</v>
      </c>
      <c r="H370" s="51" t="str">
        <f t="shared" ca="1" si="3"/>
        <v>Fragrant Sumac #5-2021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Rhus glabra</v>
      </c>
      <c r="B371" s="51" t="str">
        <f ca="1">'Landscape Trees '!C193</f>
        <v>Smooth Sumac</v>
      </c>
      <c r="C371" s="42" t="str">
        <f ca="1">'Landscape Trees '!D193</f>
        <v>#5</v>
      </c>
      <c r="D371" s="42" t="str">
        <f ca="1">'Landscape Trees '!E193</f>
        <v>0.75-1"</v>
      </c>
      <c r="E371" s="42" t="str">
        <f ca="1">'Landscape Trees '!F193</f>
        <v>4-8'</v>
      </c>
      <c r="F371" s="52">
        <f ca="1">'Landscape Trees '!G193</f>
        <v>114</v>
      </c>
      <c r="G371" s="66">
        <f ca="1">'Landscape Trees '!H193*0.9</f>
        <v>45</v>
      </c>
      <c r="H371" s="51" t="str">
        <f t="shared" ca="1" si="3"/>
        <v>Smooth Sumac #5-2021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Robina pseudoacacia</v>
      </c>
      <c r="B372" s="51" t="str">
        <f ca="1">'Landscape Trees '!C194</f>
        <v>Purple Robe Black Locust</v>
      </c>
      <c r="C372" s="42" t="str">
        <f ca="1">'Landscape Trees '!D194</f>
        <v>#5</v>
      </c>
      <c r="D372" s="42" t="str">
        <f ca="1">'Landscape Trees '!E194</f>
        <v>0.75-1"</v>
      </c>
      <c r="E372" s="42" t="str">
        <f ca="1">'Landscape Trees '!F194</f>
        <v>6-8'</v>
      </c>
      <c r="F372" s="52">
        <f ca="1">'Landscape Trees '!G194</f>
        <v>6</v>
      </c>
      <c r="G372" s="53">
        <f ca="1">'Landscape Trees '!H194*0.9</f>
        <v>45</v>
      </c>
      <c r="H372" s="51" t="str">
        <f t="shared" ca="1" si="3"/>
        <v>Purple Robe Black Locust #5-2021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Salix alba "Tristis"</v>
      </c>
      <c r="B373" s="51" t="str">
        <f ca="1">'Landscape Trees '!C195</f>
        <v>Niobe Golden Willow</v>
      </c>
      <c r="C373" s="42" t="str">
        <f ca="1">'Landscape Trees '!D195</f>
        <v>#15</v>
      </c>
      <c r="D373" s="42" t="str">
        <f ca="1">'Landscape Trees '!E195</f>
        <v>1.5-1.75"</v>
      </c>
      <c r="E373" s="42" t="str">
        <f ca="1">'Landscape Trees '!F195</f>
        <v>10-12'</v>
      </c>
      <c r="F373" s="52">
        <f ca="1">'Landscape Trees '!G195</f>
        <v>11</v>
      </c>
      <c r="G373" s="53">
        <f ca="1">'Landscape Trees '!H195*0.9</f>
        <v>121.5</v>
      </c>
      <c r="H373" s="51" t="str">
        <f t="shared" ca="1" si="3"/>
        <v>Niobe Golden Willow #15-2021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Salix babylonica</v>
      </c>
      <c r="B374" s="51" t="str">
        <f ca="1">'Landscape Trees '!C196</f>
        <v>Weeping Willow</v>
      </c>
      <c r="C374" s="42" t="str">
        <f ca="1">'Landscape Trees '!D196</f>
        <v>#5</v>
      </c>
      <c r="D374" s="42" t="str">
        <f ca="1">'Landscape Trees '!E196</f>
        <v>0.75-1.5"</v>
      </c>
      <c r="E374" s="42" t="str">
        <f ca="1">'Landscape Trees '!F196</f>
        <v>10-14'</v>
      </c>
      <c r="F374" s="52">
        <f ca="1">'Landscape Trees '!G196</f>
        <v>29</v>
      </c>
      <c r="G374" s="66">
        <f ca="1">'Landscape Trees '!H196*0.9</f>
        <v>45</v>
      </c>
      <c r="H374" s="51" t="str">
        <f t="shared" ca="1" si="3"/>
        <v>Weeping Willow #5-2021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Salix babylonica</v>
      </c>
      <c r="B375" s="51" t="str">
        <f ca="1">'Landscape Trees '!C197</f>
        <v>Weeping Willow</v>
      </c>
      <c r="C375" s="42" t="str">
        <f ca="1">'Landscape Trees '!D197</f>
        <v>#7</v>
      </c>
      <c r="D375" s="42" t="str">
        <f ca="1">'Landscape Trees '!E197</f>
        <v>1.25-1.75"</v>
      </c>
      <c r="E375" s="42" t="str">
        <f ca="1">'Landscape Trees '!F197</f>
        <v>10-15'</v>
      </c>
      <c r="F375" s="52">
        <f ca="1">'Landscape Trees '!G197</f>
        <v>59</v>
      </c>
      <c r="G375" s="66">
        <f ca="1">'Landscape Trees '!H197*0.9</f>
        <v>54</v>
      </c>
      <c r="H375" s="51" t="str">
        <f t="shared" ca="1" si="3"/>
        <v>Weeping Willow #7-2021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Salix babylonica</v>
      </c>
      <c r="B376" s="51" t="str">
        <f ca="1">'Landscape Trees '!C198</f>
        <v>Weeping Willow</v>
      </c>
      <c r="C376" s="42" t="str">
        <f ca="1">'Landscape Trees '!D198</f>
        <v>#15</v>
      </c>
      <c r="D376" s="42" t="str">
        <f ca="1">'Landscape Trees '!E198</f>
        <v>1.75-3"</v>
      </c>
      <c r="E376" s="42" t="str">
        <f ca="1">'Landscape Trees '!F198</f>
        <v>11-15'</v>
      </c>
      <c r="F376" s="52">
        <f ca="1">'Landscape Trees '!G198</f>
        <v>5</v>
      </c>
      <c r="G376" s="66">
        <f ca="1">'Landscape Trees '!H198*0.9</f>
        <v>121.5</v>
      </c>
      <c r="H376" s="51" t="str">
        <f t="shared" ca="1" si="3"/>
        <v>Weeping Willow #15-2021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Salix nigra</v>
      </c>
      <c r="B377" s="51" t="str">
        <f ca="1">'Landscape Trees '!C199</f>
        <v>Black Willow</v>
      </c>
      <c r="C377" s="42" t="str">
        <f ca="1">'Landscape Trees '!D199</f>
        <v>#5</v>
      </c>
      <c r="D377" s="42" t="str">
        <f ca="1">'Landscape Trees '!E199</f>
        <v>Multi</v>
      </c>
      <c r="E377" s="42" t="str">
        <f ca="1">'Landscape Trees '!F199</f>
        <v>6-10.5'</v>
      </c>
      <c r="F377" s="52">
        <f ca="1">'Landscape Trees '!G199</f>
        <v>2</v>
      </c>
      <c r="G377" s="66">
        <f ca="1">'Landscape Trees '!H199*0.9</f>
        <v>45</v>
      </c>
      <c r="H377" s="51" t="str">
        <f t="shared" ca="1" si="3"/>
        <v>Black Willow #5-2021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Salix pentaphyllum</v>
      </c>
      <c r="B378" s="51" t="str">
        <f ca="1">'Landscape Trees '!C200</f>
        <v>Prairie Cascade Willow</v>
      </c>
      <c r="C378" s="42" t="str">
        <f ca="1">'Landscape Trees '!D200</f>
        <v>#15</v>
      </c>
      <c r="D378" s="42" t="str">
        <f ca="1">'Landscape Trees '!E200</f>
        <v>1.25-2.25"</v>
      </c>
      <c r="E378" s="42" t="str">
        <f ca="1">'Landscape Trees '!F200</f>
        <v>10-15'</v>
      </c>
      <c r="F378" s="52">
        <f ca="1">'Landscape Trees '!G200</f>
        <v>19</v>
      </c>
      <c r="G378" s="66">
        <f ca="1">'Landscape Trees '!H200*0.9</f>
        <v>121.5</v>
      </c>
      <c r="H378" s="51" t="str">
        <f t="shared" ca="1" si="3"/>
        <v>Prairie Cascade Willow #15-2021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Salix pentaphyllum</v>
      </c>
      <c r="B379" s="51" t="str">
        <f ca="1">'Landscape Trees '!C201</f>
        <v>Prairie Cascade Willow</v>
      </c>
      <c r="C379" s="42" t="str">
        <f ca="1">'Landscape Trees '!D201</f>
        <v>#25</v>
      </c>
      <c r="D379" s="42" t="str">
        <f ca="1">'Landscape Trees '!E201</f>
        <v>2-2.5"</v>
      </c>
      <c r="E379" s="42" t="str">
        <f ca="1">'Landscape Trees '!F201</f>
        <v>14-16'</v>
      </c>
      <c r="F379" s="52">
        <f ca="1">'Landscape Trees '!G201</f>
        <v>3</v>
      </c>
      <c r="G379" s="66">
        <f ca="1">'Landscape Trees '!H201*0.9</f>
        <v>135</v>
      </c>
      <c r="H379" s="51" t="str">
        <f t="shared" ca="1" si="3"/>
        <v>Prairie Cascade Willow #25-2021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Sambucus canadensis</v>
      </c>
      <c r="B380" s="51" t="str">
        <f ca="1">'Landscape Trees '!C202</f>
        <v>Elderberry</v>
      </c>
      <c r="C380" s="42" t="str">
        <f ca="1">'Landscape Trees '!D202</f>
        <v>#5</v>
      </c>
      <c r="D380" s="42" t="str">
        <f ca="1">'Landscape Trees '!E202</f>
        <v>Multi</v>
      </c>
      <c r="E380" s="42" t="str">
        <f ca="1">'Landscape Trees '!F202</f>
        <v>3-7'</v>
      </c>
      <c r="F380" s="52">
        <f ca="1">'Landscape Trees '!G202</f>
        <v>81</v>
      </c>
      <c r="G380" s="66">
        <f ca="1">'Landscape Trees '!H202*0.9</f>
        <v>31.5</v>
      </c>
      <c r="H380" s="51" t="str">
        <f t="shared" ca="1" si="3"/>
        <v>Elderberry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Sambucus canadensis 'Pocahontas'</v>
      </c>
      <c r="B381" s="51" t="str">
        <f ca="1">'Landscape Trees '!C203</f>
        <v>Elderberry - Pocahontas</v>
      </c>
      <c r="C381" s="42" t="str">
        <f ca="1">'Landscape Trees '!D203</f>
        <v>#5</v>
      </c>
      <c r="D381" s="42" t="str">
        <f ca="1">'Landscape Trees '!E203</f>
        <v>Multi</v>
      </c>
      <c r="E381" s="42" t="str">
        <f ca="1">'Landscape Trees '!F203</f>
        <v>3-4'</v>
      </c>
      <c r="F381" s="52">
        <f ca="1">'Landscape Trees '!G203</f>
        <v>67</v>
      </c>
      <c r="G381" s="66">
        <f ca="1">'Landscape Trees '!H203*0.9</f>
        <v>31.5</v>
      </c>
      <c r="H381" s="51" t="str">
        <f t="shared" ca="1" si="3"/>
        <v>Elderberry - Pocahontas #5-2021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Sambucus canadensis 'York'</v>
      </c>
      <c r="B382" s="51" t="str">
        <f ca="1">'Landscape Trees '!C204</f>
        <v>Elderberry - York</v>
      </c>
      <c r="C382" s="42" t="str">
        <f ca="1">'Landscape Trees '!D204</f>
        <v>#5</v>
      </c>
      <c r="D382" s="42" t="str">
        <f ca="1">'Landscape Trees '!E204</f>
        <v>Multi</v>
      </c>
      <c r="E382" s="42" t="str">
        <f ca="1">'Landscape Trees '!F204</f>
        <v>3-5'</v>
      </c>
      <c r="F382" s="52">
        <f ca="1">'Landscape Trees '!G204</f>
        <v>176</v>
      </c>
      <c r="G382" s="66">
        <f ca="1">'Landscape Trees '!H204*0.9</f>
        <v>31.5</v>
      </c>
      <c r="H382" s="51" t="str">
        <f t="shared" ca="1" si="3"/>
        <v>Elderberry - York #5-2021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Stewartia pseudocamellia</v>
      </c>
      <c r="B383" s="51" t="str">
        <f ca="1">'Landscape Trees '!C205</f>
        <v>Japanese Stewartia</v>
      </c>
      <c r="C383" s="42" t="str">
        <f ca="1">'Landscape Trees '!D205</f>
        <v>#5</v>
      </c>
      <c r="D383" s="42" t="str">
        <f ca="1">'Landscape Trees '!E205</f>
        <v>0.5-1"</v>
      </c>
      <c r="E383" s="42" t="str">
        <f ca="1">'Landscape Trees '!F205</f>
        <v>4-7.5'</v>
      </c>
      <c r="F383" s="52">
        <f ca="1">'Landscape Trees '!G205</f>
        <v>32</v>
      </c>
      <c r="G383" s="66">
        <f ca="1">'Landscape Trees '!H205*0.9</f>
        <v>63</v>
      </c>
      <c r="H383" s="51" t="str">
        <f t="shared" ca="1" si="3"/>
        <v>Japanese Stewartia #5-2021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Styrax americanus</v>
      </c>
      <c r="B384" s="51" t="str">
        <f ca="1">'Landscape Trees '!C206</f>
        <v>American Snowbell</v>
      </c>
      <c r="C384" s="42" t="str">
        <f ca="1">'Landscape Trees '!D206</f>
        <v>#5</v>
      </c>
      <c r="D384" s="42" t="str">
        <f ca="1">'Landscape Trees '!E206</f>
        <v>Multi</v>
      </c>
      <c r="E384" s="42" t="str">
        <f ca="1">'Landscape Trees '!F206</f>
        <v>4-5.5'</v>
      </c>
      <c r="F384" s="52">
        <f ca="1">'Landscape Trees '!G206</f>
        <v>58</v>
      </c>
      <c r="G384" s="66">
        <f ca="1">'Landscape Trees '!H206*0.9</f>
        <v>45</v>
      </c>
      <c r="H384" s="51" t="str">
        <f t="shared" ca="1" si="3"/>
        <v>American Snowbell #5-2021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Styrax japonicus</v>
      </c>
      <c r="B385" s="51" t="str">
        <f ca="1">'Landscape Trees '!C207</f>
        <v>Japanese Snowbell</v>
      </c>
      <c r="C385" s="42" t="str">
        <f ca="1">'Landscape Trees '!D207</f>
        <v>#5</v>
      </c>
      <c r="D385" s="42" t="str">
        <f ca="1">'Landscape Trees '!E207</f>
        <v>Multi</v>
      </c>
      <c r="E385" s="42" t="str">
        <f ca="1">'Landscape Trees '!F207</f>
        <v>9-9'</v>
      </c>
      <c r="F385" s="52">
        <f ca="1">'Landscape Trees '!G207</f>
        <v>3</v>
      </c>
      <c r="G385" s="66">
        <f ca="1">'Landscape Trees '!H207*0.9</f>
        <v>45</v>
      </c>
      <c r="H385" s="51" t="str">
        <f t="shared" ca="1" si="3"/>
        <v>Japanese Snowbell #5-2021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Syringa vulgaris</v>
      </c>
      <c r="B386" s="51" t="str">
        <f ca="1">'Landscape Trees '!C208</f>
        <v>Purple Lilac</v>
      </c>
      <c r="C386" s="42" t="str">
        <f ca="1">'Landscape Trees '!D208</f>
        <v>#5</v>
      </c>
      <c r="D386" s="42" t="str">
        <f ca="1">'Landscape Trees '!E208</f>
        <v>Multi</v>
      </c>
      <c r="E386" s="42" t="str">
        <f ca="1">'Landscape Trees '!F208</f>
        <v>2-7'</v>
      </c>
      <c r="F386" s="52">
        <f ca="1">'Landscape Trees '!G208</f>
        <v>7</v>
      </c>
      <c r="G386" s="66">
        <f ca="1">'Landscape Trees '!H208*0.9</f>
        <v>33.300000000000004</v>
      </c>
      <c r="H386" s="51" t="str">
        <f t="shared" ca="1" si="3"/>
        <v>Purple Lilac #5-2021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Taxodium distichum</v>
      </c>
      <c r="B387" s="51" t="str">
        <f ca="1">'Landscape Trees '!C209</f>
        <v>Bald Cypress</v>
      </c>
      <c r="C387" s="42" t="str">
        <f ca="1">'Landscape Trees '!D209</f>
        <v>#5</v>
      </c>
      <c r="D387" s="42" t="str">
        <f ca="1">'Landscape Trees '!E209</f>
        <v>0.75-1"</v>
      </c>
      <c r="E387" s="42" t="str">
        <f ca="1">'Landscape Trees '!F209</f>
        <v>4-6'</v>
      </c>
      <c r="F387" s="52">
        <f ca="1">'Landscape Trees '!G209</f>
        <v>4</v>
      </c>
      <c r="G387" s="66">
        <f ca="1">'Landscape Trees '!H209*0.9</f>
        <v>45</v>
      </c>
      <c r="H387" s="51" t="str">
        <f t="shared" ca="1" si="3"/>
        <v>Bald Cypress #5-2021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Taxodium distichum 'Lindsey's Skyward'</v>
      </c>
      <c r="B388" s="51" t="str">
        <f ca="1">'Landscape Trees '!C210</f>
        <v>Lindsey's Skyward Bald Cypress</v>
      </c>
      <c r="C388" s="42" t="str">
        <f ca="1">'Landscape Trees '!D210</f>
        <v>#10</v>
      </c>
      <c r="D388" s="42" t="str">
        <f ca="1">'Landscape Trees '!E210</f>
        <v>1.25-1.25"</v>
      </c>
      <c r="E388" s="42" t="str">
        <f ca="1">'Landscape Trees '!F210</f>
        <v>7-8'</v>
      </c>
      <c r="F388" s="52">
        <f ca="1">'Landscape Trees '!G210</f>
        <v>1</v>
      </c>
      <c r="G388" s="66">
        <f ca="1">'Landscape Trees '!H210*0.9</f>
        <v>90</v>
      </c>
      <c r="H388" s="51" t="str">
        <f t="shared" ca="1" si="3"/>
        <v>Lindsey's Skyward Bald Cypress #10-2021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Taxodium distichum 'Shawnee Brave'</v>
      </c>
      <c r="B389" s="51" t="str">
        <f ca="1">'Landscape Trees '!C211</f>
        <v>Shawnee Brave Bald Cypress</v>
      </c>
      <c r="C389" s="42" t="str">
        <f ca="1">'Landscape Trees '!D211</f>
        <v>#15</v>
      </c>
      <c r="D389" s="42" t="str">
        <f ca="1">'Landscape Trees '!E211</f>
        <v>1.25-1.5"</v>
      </c>
      <c r="E389" s="42" t="str">
        <f ca="1">'Landscape Trees '!F211</f>
        <v>6-9'</v>
      </c>
      <c r="F389" s="52">
        <f ca="1">'Landscape Trees '!G211</f>
        <v>13</v>
      </c>
      <c r="G389" s="66">
        <f ca="1">'Landscape Trees '!H211*0.9</f>
        <v>121.5</v>
      </c>
      <c r="H389" s="51" t="str">
        <f t="shared" ca="1" si="3"/>
        <v>Shawnee Brave Bald Cypress #15-2021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Tilia americana</v>
      </c>
      <c r="B390" s="51" t="str">
        <f ca="1">'Landscape Trees '!C212</f>
        <v>American Linden</v>
      </c>
      <c r="C390" s="42" t="str">
        <f ca="1">'Landscape Trees '!D212</f>
        <v>#5</v>
      </c>
      <c r="D390" s="42" t="str">
        <f ca="1">'Landscape Trees '!E212</f>
        <v>0.5-0.75"</v>
      </c>
      <c r="E390" s="42" t="str">
        <f ca="1">'Landscape Trees '!F212</f>
        <v>4-6'</v>
      </c>
      <c r="F390" s="52">
        <f ca="1">'Landscape Trees '!G212</f>
        <v>85</v>
      </c>
      <c r="G390" s="66">
        <f ca="1">'Landscape Trees '!H212*0.9</f>
        <v>45</v>
      </c>
      <c r="H390" s="51" t="str">
        <f t="shared" ca="1" si="3"/>
        <v>American Linden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Tilia americana 'American Sentry'</v>
      </c>
      <c r="B391" s="51" t="str">
        <f ca="1">'Landscape Trees '!C213</f>
        <v>American Sentry Linden</v>
      </c>
      <c r="C391" s="42" t="str">
        <f ca="1">'Landscape Trees '!D213</f>
        <v>#15</v>
      </c>
      <c r="D391" s="42" t="str">
        <f ca="1">'Landscape Trees '!E213</f>
        <v>1-1.75"</v>
      </c>
      <c r="E391" s="42" t="str">
        <f ca="1">'Landscape Trees '!F213</f>
        <v>10-12'</v>
      </c>
      <c r="F391" s="52">
        <f ca="1">'Landscape Trees '!G213</f>
        <v>6</v>
      </c>
      <c r="G391" s="66">
        <f ca="1">'Landscape Trees '!H213*0.9</f>
        <v>121.5</v>
      </c>
      <c r="H391" s="51" t="str">
        <f t="shared" ca="1" si="3"/>
        <v>American Sentry Linden #15-2021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Tilia cordata</v>
      </c>
      <c r="B392" s="51" t="str">
        <f ca="1">'Landscape Trees '!C214</f>
        <v>Littleleaf Linden</v>
      </c>
      <c r="C392" s="42" t="str">
        <f ca="1">'Landscape Trees '!D214</f>
        <v>#5</v>
      </c>
      <c r="D392" s="42" t="str">
        <f ca="1">'Landscape Trees '!E214</f>
        <v>0.5-1.75"</v>
      </c>
      <c r="E392" s="42" t="str">
        <f ca="1">'Landscape Trees '!F214</f>
        <v>5-10'</v>
      </c>
      <c r="F392" s="52">
        <f ca="1">'Landscape Trees '!G214</f>
        <v>35</v>
      </c>
      <c r="G392" s="66">
        <f ca="1">'Landscape Trees '!H214*0.9</f>
        <v>45</v>
      </c>
      <c r="H392" s="51" t="str">
        <f t="shared" ca="1" si="3"/>
        <v>Littleleaf Linden #5-2021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Tilia tomentosa</v>
      </c>
      <c r="B393" s="51" t="str">
        <f ca="1">'Landscape Trees '!C215</f>
        <v>Silver Linden</v>
      </c>
      <c r="C393" s="42" t="str">
        <f ca="1">'Landscape Trees '!D215</f>
        <v>#5</v>
      </c>
      <c r="D393" s="42" t="str">
        <f ca="1">'Landscape Trees '!E215</f>
        <v>0.75-1"</v>
      </c>
      <c r="E393" s="42" t="str">
        <f ca="1">'Landscape Trees '!F215</f>
        <v>5-7'</v>
      </c>
      <c r="F393" s="52">
        <f ca="1">'Landscape Trees '!G215</f>
        <v>20</v>
      </c>
      <c r="G393" s="66">
        <f ca="1">'Landscape Trees '!H215*0.9</f>
        <v>45</v>
      </c>
      <c r="H393" s="51" t="str">
        <f t="shared" ca="1" si="3"/>
        <v>Silver Linden #5-2021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Ulmus americana 'Princeton'</v>
      </c>
      <c r="B394" s="51" t="str">
        <f ca="1">'Landscape Trees '!C216</f>
        <v>Princeton Elm</v>
      </c>
      <c r="C394" s="42" t="str">
        <f ca="1">'Landscape Trees '!D216</f>
        <v>#5</v>
      </c>
      <c r="D394" s="42" t="str">
        <f ca="1">'Landscape Trees '!E216</f>
        <v>0.5-1.5"</v>
      </c>
      <c r="E394" s="42" t="str">
        <f ca="1">'Landscape Trees '!F216</f>
        <v>5-14'</v>
      </c>
      <c r="F394" s="52">
        <f ca="1">'Landscape Trees '!G216</f>
        <v>26</v>
      </c>
      <c r="G394" s="66">
        <f ca="1">'Landscape Trees '!H216*0.9</f>
        <v>45</v>
      </c>
      <c r="H394" s="51" t="str">
        <f t="shared" ca="1" si="3"/>
        <v>Princeton Elm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Ulmus americana 'Princeton'</v>
      </c>
      <c r="B395" s="51" t="str">
        <f ca="1">'Landscape Trees '!C217</f>
        <v>Princeton Elm</v>
      </c>
      <c r="C395" s="42" t="str">
        <f ca="1">'Landscape Trees '!D217</f>
        <v>#15</v>
      </c>
      <c r="D395" s="42" t="str">
        <f ca="1">'Landscape Trees '!E217</f>
        <v>1-1.25"</v>
      </c>
      <c r="E395" s="42" t="str">
        <f ca="1">'Landscape Trees '!F217</f>
        <v>9-14'</v>
      </c>
      <c r="F395" s="52">
        <f ca="1">'Landscape Trees '!G217</f>
        <v>11</v>
      </c>
      <c r="G395" s="66">
        <f ca="1">'Landscape Trees '!H217*0.9</f>
        <v>121.5</v>
      </c>
      <c r="H395" s="51" t="str">
        <f t="shared" ca="1" si="3"/>
        <v>Princeton Elm #15-2021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Viburnum trilobum</v>
      </c>
      <c r="B396" s="51" t="str">
        <f ca="1">'Landscape Trees '!C218</f>
        <v>Cranberry Viburnum</v>
      </c>
      <c r="C396" s="42" t="str">
        <f ca="1">'Landscape Trees '!D218</f>
        <v>#5</v>
      </c>
      <c r="D396" s="42" t="str">
        <f ca="1">'Landscape Trees '!E218</f>
        <v>Multi</v>
      </c>
      <c r="E396" s="42" t="str">
        <f ca="1">'Landscape Trees '!F218</f>
        <v>2-4'</v>
      </c>
      <c r="F396" s="52">
        <f ca="1">'Landscape Trees '!G218</f>
        <v>79</v>
      </c>
      <c r="G396" s="66">
        <f ca="1">'Landscape Trees '!H218*0.9</f>
        <v>33.300000000000004</v>
      </c>
      <c r="H396" s="51" t="str">
        <f t="shared" ca="1" si="3"/>
        <v>Cranberry Viburnum #5-2021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Zelkova serrata 'Green Vase'</v>
      </c>
      <c r="B397" s="51" t="str">
        <f ca="1">'Landscape Trees '!C219</f>
        <v>Green Vase Zelkova</v>
      </c>
      <c r="C397" s="42" t="str">
        <f ca="1">'Landscape Trees '!D219</f>
        <v>#15</v>
      </c>
      <c r="D397" s="42" t="str">
        <f ca="1">'Landscape Trees '!E219</f>
        <v>1.25-1.75"</v>
      </c>
      <c r="E397" s="42" t="str">
        <f ca="1">'Landscape Trees '!F219</f>
        <v>12-14'</v>
      </c>
      <c r="F397" s="52">
        <f ca="1">'Landscape Trees '!G219</f>
        <v>17</v>
      </c>
      <c r="G397" s="66">
        <f ca="1">'Landscape Trees '!H219*0.9</f>
        <v>121.5</v>
      </c>
      <c r="H397" s="51" t="str">
        <f t="shared" ca="1" si="3"/>
        <v>Green Vase Zelkova #15-2021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Zelkova serrata 'Green Vase'</v>
      </c>
      <c r="B398" s="51" t="str">
        <f ca="1">'Landscape Trees '!C220</f>
        <v>Green Vase Zelkova</v>
      </c>
      <c r="C398" s="42" t="str">
        <f ca="1">'Landscape Trees '!D220</f>
        <v>#25</v>
      </c>
      <c r="D398" s="42" t="str">
        <f ca="1">'Landscape Trees '!E220</f>
        <v>1.75-1.75"</v>
      </c>
      <c r="E398" s="42" t="str">
        <f ca="1">'Landscape Trees '!F220</f>
        <v>16-16'</v>
      </c>
      <c r="F398" s="52">
        <f ca="1">'Landscape Trees '!G220</f>
        <v>1</v>
      </c>
      <c r="G398" s="66">
        <f ca="1">'Landscape Trees '!H220*0.9</f>
        <v>135</v>
      </c>
      <c r="H398" s="51" t="str">
        <f t="shared" ca="1" si="3"/>
        <v>Green Vase Zelkova #25-2021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Zelkova serrata 'Village Green'</v>
      </c>
      <c r="B399" s="51" t="str">
        <f ca="1">'Landscape Trees '!C221</f>
        <v>Village Green Zelkova</v>
      </c>
      <c r="C399" s="42" t="str">
        <f ca="1">'Landscape Trees '!D221</f>
        <v>#10</v>
      </c>
      <c r="D399" s="42" t="str">
        <f ca="1">'Landscape Trees '!E221</f>
        <v>1.5-1.75"</v>
      </c>
      <c r="E399" s="42" t="str">
        <f ca="1">'Landscape Trees '!F221</f>
        <v>11-12'</v>
      </c>
      <c r="F399" s="52">
        <f ca="1">'Landscape Trees '!G221</f>
        <v>3</v>
      </c>
      <c r="G399" s="66">
        <f ca="1">'Landscape Trees '!H221*0.9</f>
        <v>90</v>
      </c>
      <c r="H399" s="51" t="str">
        <f t="shared" ca="1" si="3"/>
        <v>Village Green Zelkova #10-2021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zx - 1.5"x1.5"x6' Stakes</v>
      </c>
      <c r="B400" s="51" t="str">
        <f ca="1">'Landscape Trees '!C222</f>
        <v>zx - 1.5"x1.5"x6' Stakes</v>
      </c>
      <c r="C400" s="42">
        <f>'Landscape Trees '!D222</f>
        <v>0</v>
      </c>
      <c r="D400" s="42" t="str">
        <f ca="1">'Landscape Trees '!E222</f>
        <v>0-0"</v>
      </c>
      <c r="E400" s="42" t="str">
        <f ca="1">'Landscape Trees '!F222</f>
        <v>0-0'</v>
      </c>
      <c r="F400" s="52">
        <f ca="1">'Landscape Trees '!G222</f>
        <v>863</v>
      </c>
      <c r="G400" s="66">
        <f ca="1">'Landscape Trees '!H222*0.9</f>
        <v>2.7</v>
      </c>
      <c r="H400" s="51" t="str">
        <f t="shared" ca="1" si="3"/>
        <v>zx - 1.5"x1.5"x6' Stakes 0-2021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zx - 4' Bark Protector</v>
      </c>
      <c r="B401" s="51" t="str">
        <f ca="1">'Landscape Trees '!C223</f>
        <v>zx - 4' Bark Protector</v>
      </c>
      <c r="C401" s="42">
        <f>'Landscape Trees '!D223</f>
        <v>0</v>
      </c>
      <c r="D401" s="42" t="str">
        <f ca="1">'Landscape Trees '!E223</f>
        <v>0-0"</v>
      </c>
      <c r="E401" s="42" t="str">
        <f ca="1">'Landscape Trees '!F223</f>
        <v>0-0'</v>
      </c>
      <c r="F401" s="52">
        <f ca="1">'Landscape Trees '!G223</f>
        <v>876</v>
      </c>
      <c r="G401" s="66">
        <f ca="1">'Landscape Trees '!H223*0.9</f>
        <v>9</v>
      </c>
      <c r="H401" s="51" t="str">
        <f t="shared" ca="1" si="3"/>
        <v>zx - 4' Bark Protector 0-2021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zx - Felco #2 Pruners</v>
      </c>
      <c r="B402" s="51" t="str">
        <f ca="1">'Landscape Trees '!C224</f>
        <v>zx - Felco #2 Pruners</v>
      </c>
      <c r="C402" s="42">
        <f>'Landscape Trees '!D224</f>
        <v>0</v>
      </c>
      <c r="D402" s="42" t="str">
        <f ca="1">'Landscape Trees '!E224</f>
        <v>0-0"</v>
      </c>
      <c r="E402" s="42" t="str">
        <f ca="1">'Landscape Trees '!F224</f>
        <v>0-0'</v>
      </c>
      <c r="F402" s="52">
        <f ca="1">'Landscape Trees '!G224</f>
        <v>49</v>
      </c>
      <c r="G402" s="66">
        <f ca="1">'Landscape Trees '!H224*0.9</f>
        <v>58.5</v>
      </c>
      <c r="H402" s="51" t="str">
        <f t="shared" ca="1" si="3"/>
        <v>zx - Felco #2 Pruners 0-2021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zx - Shade Tarp</v>
      </c>
      <c r="B403" s="51" t="str">
        <f ca="1">'Landscape Trees '!C225</f>
        <v>zx -Shade Tarp</v>
      </c>
      <c r="C403" s="42">
        <f>'Landscape Trees '!D225</f>
        <v>0</v>
      </c>
      <c r="D403" s="42" t="str">
        <f ca="1">'Landscape Trees '!E225</f>
        <v>0-0"</v>
      </c>
      <c r="E403" s="42" t="str">
        <f ca="1">'Landscape Trees '!F225</f>
        <v>0-0'</v>
      </c>
      <c r="F403" s="52">
        <f ca="1">'Landscape Trees '!G225</f>
        <v>9</v>
      </c>
      <c r="G403" s="66">
        <f ca="1">'Landscape Trees '!H225*0.9</f>
        <v>27</v>
      </c>
      <c r="H403" s="51" t="str">
        <f t="shared" ca="1" si="3"/>
        <v>zx -Shade Tarp 0-2021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zx -Cages</v>
      </c>
      <c r="B404" s="51" t="str">
        <f ca="1">'Landscape Trees '!C226</f>
        <v>zx -Cages</v>
      </c>
      <c r="C404" s="42">
        <f>'Landscape Trees '!D226</f>
        <v>0</v>
      </c>
      <c r="D404" s="42" t="str">
        <f ca="1">'Landscape Trees '!E226</f>
        <v>0-0"</v>
      </c>
      <c r="E404" s="42" t="str">
        <f ca="1">'Landscape Trees '!F226</f>
        <v>0-0'</v>
      </c>
      <c r="F404" s="52">
        <f ca="1">'Landscape Trees '!G226</f>
        <v>981</v>
      </c>
      <c r="G404" s="66">
        <f ca="1">'Landscape Trees '!H226*0.9</f>
        <v>40.5</v>
      </c>
      <c r="H404" s="51" t="str">
        <f t="shared" ca="1" si="3"/>
        <v>zx -Cages 0-2021</v>
      </c>
      <c r="I404" s="54"/>
      <c r="J404" s="55">
        <f t="shared" ca="1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alachian Spring Dogwood"/>
        <filter val="Apple - Ambrosia"/>
        <filter val="Apple - Arkansas Black"/>
        <filter val="Apple - Aztec Fuji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each Plum"/>
        <filter val="Bigleaf Magnolia"/>
        <filter val="Black Gum"/>
        <filter val="Black Willow"/>
        <filter val="Blackberry - Prime-ark 'Freedom'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herokee Brave Dogwood"/>
        <filter val="Cherokee Princess Dogwood"/>
        <filter val="Cherry (Sour) - Montmorency"/>
        <filter val="Chestnut - Chinese"/>
        <filter val="Chestnut Oak"/>
        <filter val="Chinkapin Oak"/>
        <filter val="Cloud 9 Dogwood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grant Sumac"/>
        <filter val="Frans Fontaine European Hornbeam"/>
        <filter val="Ft. McNair Horsechestnut"/>
        <filter val="Galaxy Magnolia"/>
        <filter val="Golden Chain Tree"/>
        <filter val="Gooseberry - Hinnomaki Red"/>
        <filter val="Gooseberry - Invicta Green"/>
        <filter val="Grape - Concord (seeded)"/>
        <filter val="Green Gable Black Gum"/>
        <filter val="Green Mountain Sugar Maple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atador Maple"/>
        <filter val="Moonglow Magnolia"/>
        <filter val="Mt Fuji Cherry"/>
        <filter val="Mt. Airy Fothergilla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Contender"/>
        <filter val="Peach - Cresthaven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in Oak"/>
        <filter val="Plum - Black Ice"/>
        <filter val="Plum - Green Gage"/>
        <filter val="Plum - Methley"/>
        <filter val="Plum - NY9"/>
        <filter val="Post Oak"/>
        <filter val="Prairie Cascade Willow"/>
        <filter val="Prairifire Crabapple"/>
        <filter val="Princeton Elm"/>
        <filter val="Princeton Sentry Ginkgo"/>
        <filter val="Purple Lilac"/>
        <filter val="Purple Robe Black Locust"/>
        <filter val="Quaking Aspen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te - Salavatski"/>
        <filter val="Scarlet Fire Dogwood"/>
        <filter val="Scarlet Oak"/>
        <filter val="Shamrock Holly"/>
        <filter val="Shawnee Brave Bald Cypress"/>
        <filter val="Shingle Oak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Cherry"/>
        <filter val="Snow Queen Oakleaf Hydrangea"/>
        <filter val="Sourwood"/>
        <filter val="Southern Catalpa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Yoshino Cherry"/>
        <filter val="zx - 1.5&quot;x1.5&quot;x6' Stakes"/>
        <filter val="zx - 10' Orchard Ladder (extendable leg)"/>
        <filter val="zx - 10' Orchard Ladder (fixed)"/>
        <filter val="zx - 12' Orchard Ladder (extendable leg)"/>
        <filter val="zx - 14' Orchard Ladder (extendable)"/>
        <filter val="zx - 16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Cages"/>
        <filter val="zx -Shade Tarp"/>
      </filters>
    </filterColumn>
  </autoFilter>
  <customSheetViews>
    <customSheetView guid="{84178864-5D4C-44C1-AE1B-0A0C05904A32}" filter="1" showAutoFilter="1">
      <pageMargins left="0.7" right="0.7" top="0.75" bottom="0.75" header="0.3" footer="0.3"/>
      <autoFilter ref="F3:F473" xr:uid="{63047485-4D17-455B-B19E-072EAF43E921}">
        <filterColumn colId="0">
          <filters blank="1">
            <filter val="1"/>
            <filter val="1. Pick Up     2. Delivery    3. Delivery &amp; Planting"/>
            <filter val="10"/>
            <filter val="100"/>
            <filter val="102"/>
            <filter val="104"/>
            <filter val="105"/>
            <filter val="108"/>
            <filter val="109"/>
            <filter val="11"/>
            <filter val="111"/>
            <filter val="112"/>
            <filter val="114"/>
            <filter val="119"/>
            <filter val="12"/>
            <filter val="121"/>
            <filter val="125"/>
            <filter val="126"/>
            <filter val="13"/>
            <filter val="130"/>
            <filter val="131"/>
            <filter val="138"/>
            <filter val="14"/>
            <filter val="141"/>
            <filter val="15"/>
            <filter val="153"/>
            <filter val="155"/>
            <filter val="156"/>
            <filter val="158"/>
            <filter val="159"/>
            <filter val="16"/>
            <filter val="168"/>
            <filter val="17"/>
            <filter val="171"/>
            <filter val="173"/>
            <filter val="176"/>
            <filter val="177"/>
            <filter val="18"/>
            <filter val="183"/>
            <filter val="19"/>
            <filter val="2"/>
            <filter val="20"/>
            <filter val="200"/>
            <filter val="201"/>
            <filter val="206"/>
            <filter val="21"/>
            <filter val="213"/>
            <filter val="215"/>
            <filter val="22"/>
            <filter val="23"/>
            <filter val="236"/>
            <filter val="25"/>
            <filter val="257"/>
            <filter val="26"/>
            <filter val="27"/>
            <filter val="28"/>
            <filter val="29"/>
            <filter val="292"/>
            <filter val="3"/>
            <filter val="31"/>
            <filter val="32"/>
            <filter val="33"/>
            <filter val="34"/>
            <filter val="35"/>
            <filter val="36"/>
            <filter val="37"/>
            <filter val="38"/>
            <filter val="39"/>
            <filter val="392"/>
            <filter val="4"/>
            <filter val="40"/>
            <filter val="41"/>
            <filter val="413"/>
            <filter val="42"/>
            <filter val="43"/>
            <filter val="44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6"/>
            <filter val="58"/>
            <filter val="59"/>
            <filter val="6"/>
            <filter val="60"/>
            <filter val="63"/>
            <filter val="64"/>
            <filter val="67"/>
            <filter val="68"/>
            <filter val="69"/>
            <filter val="7"/>
            <filter val="72"/>
            <filter val="73"/>
            <filter val="74"/>
            <filter val="75"/>
            <filter val="79"/>
            <filter val="8"/>
            <filter val="80"/>
            <filter val="81"/>
            <filter val="83"/>
            <filter val="85"/>
            <filter val="86"/>
            <filter val="863"/>
            <filter val="876"/>
            <filter val="9"/>
            <filter val="92"/>
            <filter val="96"/>
            <filter val="97"/>
            <filter val="981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IFERROR(__xludf.DUMMYFUNCTION("""COMPUTED_VALUE"""),12)</f>
        <v>12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IFERROR(__xludf.DUMMYFUNCTION("""COMPUTED_VALUE"""),16)</f>
        <v>16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IFERROR(__xludf.DUMMYFUNCTION("""COMPUTED_VALUE"""),31)</f>
        <v>31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IFERROR(__xludf.DUMMYFUNCTION("""COMPUTED_VALUE"""),17)</f>
        <v>17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'Emperor I'")</f>
        <v>Acer palmatum 'Emperor I'</v>
      </c>
      <c r="B6" s="61">
        <f ca="1">IFERROR(__xludf.DUMMYFUNCTION("""COMPUTED_VALUE"""),5)</f>
        <v>5</v>
      </c>
      <c r="C6" s="61" t="str">
        <f ca="1">IFERROR(__xludf.DUMMYFUNCTION("""COMPUTED_VALUE"""),"Emperor I Japanese Maple")</f>
        <v>Emperor I Japanese Maple</v>
      </c>
      <c r="D6" s="61" t="str">
        <f ca="1">IFERROR(__xludf.DUMMYFUNCTION("""COMPUTED_VALUE"""),"#5")</f>
        <v>#5</v>
      </c>
      <c r="E6" s="61" t="str">
        <f ca="1">IFERROR(__xludf.DUMMYFUNCTION("""COMPUTED_VALUE"""),"0.5-0.75""")</f>
        <v>0.5-0.75"</v>
      </c>
      <c r="F6" s="61" t="str">
        <f ca="1">IFERROR(__xludf.DUMMYFUNCTION("""COMPUTED_VALUE"""),"5-6'")</f>
        <v>5-6'</v>
      </c>
      <c r="G6" s="62">
        <f ca="1">IFERROR(__xludf.DUMMYFUNCTION("""COMPUTED_VALUE"""),6)</f>
        <v>6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'Tamukeyama'")</f>
        <v>Acer palmatum 'Tamukeyama'</v>
      </c>
      <c r="B7" s="61">
        <f ca="1">IFERROR(__xludf.DUMMYFUNCTION("""COMPUTED_VALUE"""),5)</f>
        <v>5</v>
      </c>
      <c r="C7" s="61" t="str">
        <f ca="1">IFERROR(__xludf.DUMMYFUNCTION("""COMPUTED_VALUE"""),"Tamukeyama Japanese Maple")</f>
        <v>Tamukeyama Japanese Maple</v>
      </c>
      <c r="D7" s="61" t="str">
        <f ca="1">IFERROR(__xludf.DUMMYFUNCTION("""COMPUTED_VALUE"""),"#5")</f>
        <v>#5</v>
      </c>
      <c r="E7" s="61" t="str">
        <f ca="1">IFERROR(__xludf.DUMMYFUNCTION("""COMPUTED_VALUE"""),"0.25-0.75""")</f>
        <v>0.25-0.75"</v>
      </c>
      <c r="F7" s="61" t="str">
        <f ca="1">IFERROR(__xludf.DUMMYFUNCTION("""COMPUTED_VALUE"""),"3.5-4'")</f>
        <v>3.5-4'</v>
      </c>
      <c r="G7" s="62">
        <f ca="1">IFERROR(__xludf.DUMMYFUNCTION("""COMPUTED_VALUE"""),8)</f>
        <v>8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platanoides 'Crimson King'")</f>
        <v>Acer platanoides 'Crimson King'</v>
      </c>
      <c r="B8" s="61">
        <f ca="1">IFERROR(__xludf.DUMMYFUNCTION("""COMPUTED_VALUE"""),15)</f>
        <v>15</v>
      </c>
      <c r="C8" s="61" t="str">
        <f ca="1">IFERROR(__xludf.DUMMYFUNCTION("""COMPUTED_VALUE"""),"Crimson King Norway Maple")</f>
        <v>Crimson King Norway Maple</v>
      </c>
      <c r="D8" s="61" t="str">
        <f ca="1">IFERROR(__xludf.DUMMYFUNCTION("""COMPUTED_VALUE"""),"#15")</f>
        <v>#15</v>
      </c>
      <c r="E8" s="61" t="str">
        <f ca="1">IFERROR(__xludf.DUMMYFUNCTION("""COMPUTED_VALUE"""),"1.25-1.75""")</f>
        <v>1.25-1.75"</v>
      </c>
      <c r="F8" s="61" t="str">
        <f ca="1">IFERROR(__xludf.DUMMYFUNCTION("""COMPUTED_VALUE"""),"9-10'")</f>
        <v>9-10'</v>
      </c>
      <c r="G8" s="62">
        <f ca="1">IFERROR(__xludf.DUMMYFUNCTION("""COMPUTED_VALUE"""),17)</f>
        <v>17</v>
      </c>
      <c r="H8" s="63">
        <f ca="1">IFERROR(__xludf.DUMMYFUNCTION("""COMPUTED_VALUE"""),135)</f>
        <v>135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IFERROR(__xludf.DUMMYFUNCTION("""COMPUTED_VALUE"""),25)</f>
        <v>25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IFERROR(__xludf.DUMMYFUNCTION("""COMPUTED_VALUE"""),"#25")</f>
        <v>#25</v>
      </c>
      <c r="E9" s="61" t="str">
        <f ca="1">IFERROR(__xludf.DUMMYFUNCTION("""COMPUTED_VALUE"""),"1.75-1.75""")</f>
        <v>1.75-1.75"</v>
      </c>
      <c r="F9" s="61" t="str">
        <f ca="1">IFERROR(__xludf.DUMMYFUNCTION("""COMPUTED_VALUE"""),"13.5-13.5'")</f>
        <v>13.5-13.5'</v>
      </c>
      <c r="G9" s="62">
        <f ca="1">IFERROR(__xludf.DUMMYFUNCTION("""COMPUTED_VALUE"""),1)</f>
        <v>1</v>
      </c>
      <c r="H9" s="63">
        <f ca="1">IFERROR(__xludf.DUMMYFUNCTION("""COMPUTED_VALUE"""),150)</f>
        <v>150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'Silver Variegated'")</f>
        <v>Acer platanoides 'Silver Variegated'</v>
      </c>
      <c r="B10" s="61">
        <f ca="1">IFERROR(__xludf.DUMMYFUNCTION("""COMPUTED_VALUE"""),15)</f>
        <v>15</v>
      </c>
      <c r="C10" s="61" t="str">
        <f ca="1">IFERROR(__xludf.DUMMYFUNCTION("""COMPUTED_VALUE"""),"Silver Variegated Norway Maple")</f>
        <v>Silver Variegated Norway Maple</v>
      </c>
      <c r="D10" s="61" t="str">
        <f ca="1">IFERROR(__xludf.DUMMYFUNCTION("""COMPUTED_VALUE"""),"#15")</f>
        <v>#15</v>
      </c>
      <c r="E10" s="61" t="str">
        <f ca="1">IFERROR(__xludf.DUMMYFUNCTION("""COMPUTED_VALUE"""),"1.25-1.25""")</f>
        <v>1.25-1.25"</v>
      </c>
      <c r="F10" s="61" t="str">
        <f ca="1">IFERROR(__xludf.DUMMYFUNCTION("""COMPUTED_VALUE"""),"9-9'")</f>
        <v>9-9'</v>
      </c>
      <c r="G10" s="62">
        <f ca="1">IFERROR(__xludf.DUMMYFUNCTION("""COMPUTED_VALUE"""),1)</f>
        <v>1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rubrum")</f>
        <v>Acer rubrum</v>
      </c>
      <c r="B11" s="61">
        <f ca="1">IFERROR(__xludf.DUMMYFUNCTION("""COMPUTED_VALUE"""),5)</f>
        <v>5</v>
      </c>
      <c r="C11" s="61" t="str">
        <f ca="1">IFERROR(__xludf.DUMMYFUNCTION("""COMPUTED_VALUE"""),"Red Maple Native")</f>
        <v>Red Maple Native</v>
      </c>
      <c r="D11" s="61" t="str">
        <f ca="1">IFERROR(__xludf.DUMMYFUNCTION("""COMPUTED_VALUE"""),"#5")</f>
        <v>#5</v>
      </c>
      <c r="E11" s="61" t="str">
        <f ca="1">IFERROR(__xludf.DUMMYFUNCTION("""COMPUTED_VALUE"""),"0.25-0.75""")</f>
        <v>0.25-0.75"</v>
      </c>
      <c r="F11" s="61" t="str">
        <f ca="1">IFERROR(__xludf.DUMMYFUNCTION("""COMPUTED_VALUE"""),"3-7'")</f>
        <v>3-7'</v>
      </c>
      <c r="G11" s="62">
        <f ca="1">IFERROR(__xludf.DUMMYFUNCTION("""COMPUTED_VALUE"""),236)</f>
        <v>236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IFERROR(__xludf.DUMMYFUNCTION("""COMPUTED_VALUE"""),15)</f>
        <v>15</v>
      </c>
      <c r="C12" s="61" t="str">
        <f ca="1">IFERROR(__xludf.DUMMYFUNCTION("""COMPUTED_VALUE"""),"Red Maple Cultivar")</f>
        <v>Red Maple Cultivar</v>
      </c>
      <c r="D12" s="61" t="str">
        <f ca="1">IFERROR(__xludf.DUMMYFUNCTION("""COMPUTED_VALUE"""),"#15")</f>
        <v>#15</v>
      </c>
      <c r="E12" s="61" t="str">
        <f ca="1">IFERROR(__xludf.DUMMYFUNCTION("""COMPUTED_VALUE"""),"1-1.5""")</f>
        <v>1-1.5"</v>
      </c>
      <c r="F12" s="61" t="str">
        <f ca="1">IFERROR(__xludf.DUMMYFUNCTION("""COMPUTED_VALUE"""),"8-12'")</f>
        <v>8-12'</v>
      </c>
      <c r="G12" s="62">
        <f ca="1">IFERROR(__xludf.DUMMYFUNCTION("""COMPUTED_VALUE"""),38)</f>
        <v>38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")</f>
        <v xml:space="preserve">Acer rubrum </v>
      </c>
      <c r="B13" s="61">
        <f ca="1">IFERROR(__xludf.DUMMYFUNCTION("""COMPUTED_VALUE"""),5)</f>
        <v>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IFERROR(__xludf.DUMMYFUNCTION("""COMPUTED_VALUE"""),"#5")</f>
        <v>#5</v>
      </c>
      <c r="E13" s="61" t="str">
        <f ca="1">IFERROR(__xludf.DUMMYFUNCTION("""COMPUTED_VALUE"""),"0.5-0.75""")</f>
        <v>0.5-0.75"</v>
      </c>
      <c r="F13" s="61" t="str">
        <f ca="1">IFERROR(__xludf.DUMMYFUNCTION("""COMPUTED_VALUE"""),"4-6'")</f>
        <v>4-6'</v>
      </c>
      <c r="G13" s="62">
        <f ca="1">IFERROR(__xludf.DUMMYFUNCTION("""COMPUTED_VALUE"""),21)</f>
        <v>21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'Armstrong'")</f>
        <v>Acer rubrum 'Armstrong'</v>
      </c>
      <c r="B14" s="61">
        <f ca="1">IFERROR(__xludf.DUMMYFUNCTION("""COMPUTED_VALUE"""),15)</f>
        <v>15</v>
      </c>
      <c r="C14" s="61" t="str">
        <f ca="1">IFERROR(__xludf.DUMMYFUNCTION("""COMPUTED_VALUE"""),"Armstrong Red Maple")</f>
        <v>Armstrong Red Maple</v>
      </c>
      <c r="D14" s="61" t="str">
        <f ca="1">IFERROR(__xludf.DUMMYFUNCTION("""COMPUTED_VALUE"""),"#15")</f>
        <v>#15</v>
      </c>
      <c r="E14" s="61" t="str">
        <f ca="1">IFERROR(__xludf.DUMMYFUNCTION("""COMPUTED_VALUE"""),"1.5-1.75""")</f>
        <v>1.5-1.75"</v>
      </c>
      <c r="F14" s="61" t="str">
        <f ca="1">IFERROR(__xludf.DUMMYFUNCTION("""COMPUTED_VALUE"""),"12-14'")</f>
        <v>12-14'</v>
      </c>
      <c r="G14" s="62">
        <f ca="1">IFERROR(__xludf.DUMMYFUNCTION("""COMPUTED_VALUE"""),8)</f>
        <v>8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 t="str">
        <f ca="1">IFERROR(__xludf.DUMMYFUNCTION("""COMPUTED_VALUE"""),"5")</f>
        <v>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IFERROR(__xludf.DUMMYFUNCTION("""COMPUTED_VALUE"""),"#5")</f>
        <v>#5</v>
      </c>
      <c r="E15" s="61" t="str">
        <f ca="1">IFERROR(__xludf.DUMMYFUNCTION("""COMPUTED_VALUE"""),"0.25-0.5""")</f>
        <v>0.25-0.5"</v>
      </c>
      <c r="F15" s="61" t="str">
        <f ca="1">IFERROR(__xludf.DUMMYFUNCTION("""COMPUTED_VALUE"""),"3-5'")</f>
        <v>3-5'</v>
      </c>
      <c r="G15" s="62">
        <f ca="1">IFERROR(__xludf.DUMMYFUNCTION("""COMPUTED_VALUE"""),1)</f>
        <v>1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saccharinum")</f>
        <v>Acer saccharinum</v>
      </c>
      <c r="B16" s="61">
        <f ca="1">IFERROR(__xludf.DUMMYFUNCTION("""COMPUTED_VALUE"""),5)</f>
        <v>5</v>
      </c>
      <c r="C16" s="61" t="str">
        <f ca="1">IFERROR(__xludf.DUMMYFUNCTION("""COMPUTED_VALUE"""),"Silver Maple")</f>
        <v>Silver Maple</v>
      </c>
      <c r="D16" s="61" t="str">
        <f ca="1">IFERROR(__xludf.DUMMYFUNCTION("""COMPUTED_VALUE"""),"#5")</f>
        <v>#5</v>
      </c>
      <c r="E16" s="61" t="str">
        <f ca="1">IFERROR(__xludf.DUMMYFUNCTION("""COMPUTED_VALUE"""),"0.75-1.5""")</f>
        <v>0.75-1.5"</v>
      </c>
      <c r="F16" s="61" t="str">
        <f ca="1">IFERROR(__xludf.DUMMYFUNCTION("""COMPUTED_VALUE"""),"7-11'")</f>
        <v>7-11'</v>
      </c>
      <c r="G16" s="62">
        <f ca="1">IFERROR(__xludf.DUMMYFUNCTION("""COMPUTED_VALUE"""),42)</f>
        <v>42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saccharum")</f>
        <v>Acer saccharum</v>
      </c>
      <c r="B17" s="61">
        <f ca="1">IFERROR(__xludf.DUMMYFUNCTION("""COMPUTED_VALUE"""),15)</f>
        <v>15</v>
      </c>
      <c r="C17" s="61" t="str">
        <f ca="1">IFERROR(__xludf.DUMMYFUNCTION("""COMPUTED_VALUE"""),"Sugar Maple")</f>
        <v>Sugar Maple</v>
      </c>
      <c r="D17" s="61" t="str">
        <f ca="1">IFERROR(__xludf.DUMMYFUNCTION("""COMPUTED_VALUE"""),"#15")</f>
        <v>#15</v>
      </c>
      <c r="E17" s="61" t="str">
        <f ca="1">IFERROR(__xludf.DUMMYFUNCTION("""COMPUTED_VALUE"""),"1-1.25""")</f>
        <v>1-1.25"</v>
      </c>
      <c r="F17" s="61" t="str">
        <f ca="1">IFERROR(__xludf.DUMMYFUNCTION("""COMPUTED_VALUE"""),"10-12'")</f>
        <v>10-12'</v>
      </c>
      <c r="G17" s="62">
        <f ca="1">IFERROR(__xludf.DUMMYFUNCTION("""COMPUTED_VALUE"""),8)</f>
        <v>8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 'Bailsta'")</f>
        <v>Acer saccharum 'Bailsta'</v>
      </c>
      <c r="B18" s="61">
        <f ca="1">IFERROR(__xludf.DUMMYFUNCTION("""COMPUTED_VALUE"""),15)</f>
        <v>15</v>
      </c>
      <c r="C18" s="61" t="str">
        <f ca="1">IFERROR(__xludf.DUMMYFUNCTION("""COMPUTED_VALUE"""),"Fall Fiesta Sugar Maple")</f>
        <v>Fall Fiesta Sugar Maple</v>
      </c>
      <c r="D18" s="61" t="str">
        <f ca="1">IFERROR(__xludf.DUMMYFUNCTION("""COMPUTED_VALUE"""),"#15")</f>
        <v>#15</v>
      </c>
      <c r="E18" s="61" t="str">
        <f ca="1">IFERROR(__xludf.DUMMYFUNCTION("""COMPUTED_VALUE"""),"1-1.75""")</f>
        <v>1-1.75"</v>
      </c>
      <c r="F18" s="61" t="str">
        <f ca="1">IFERROR(__xludf.DUMMYFUNCTION("""COMPUTED_VALUE"""),"10-13'")</f>
        <v>10-13'</v>
      </c>
      <c r="G18" s="62">
        <f ca="1">IFERROR(__xludf.DUMMYFUNCTION("""COMPUTED_VALUE"""),34)</f>
        <v>34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'Bailsta'")</f>
        <v>Acer saccharum 'Bailsta'</v>
      </c>
      <c r="B19" s="61">
        <f ca="1">IFERROR(__xludf.DUMMYFUNCTION("""COMPUTED_VALUE"""),25)</f>
        <v>25</v>
      </c>
      <c r="C19" s="61" t="str">
        <f ca="1">IFERROR(__xludf.DUMMYFUNCTION("""COMPUTED_VALUE"""),"Fall Fiesta Sugar Maple")</f>
        <v>Fall Fiesta Sugar Maple</v>
      </c>
      <c r="D19" s="61" t="str">
        <f ca="1">IFERROR(__xludf.DUMMYFUNCTION("""COMPUTED_VALUE"""),"#25")</f>
        <v>#25</v>
      </c>
      <c r="E19" s="61" t="str">
        <f ca="1">IFERROR(__xludf.DUMMYFUNCTION("""COMPUTED_VALUE"""),"1.25-1.75""")</f>
        <v>1.25-1.75"</v>
      </c>
      <c r="F19" s="61" t="str">
        <f ca="1">IFERROR(__xludf.DUMMYFUNCTION("""COMPUTED_VALUE"""),"11-14'")</f>
        <v>11-14'</v>
      </c>
      <c r="G19" s="62">
        <f ca="1">IFERROR(__xludf.DUMMYFUNCTION("""COMPUTED_VALUE"""),15)</f>
        <v>15</v>
      </c>
      <c r="H19" s="63">
        <f ca="1">IFERROR(__xludf.DUMMYFUNCTION("""COMPUTED_VALUE"""),150)</f>
        <v>150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'Green Mountain'")</f>
        <v>Acer saccharum 'Green Mountain'</v>
      </c>
      <c r="B20" s="61">
        <f ca="1">IFERROR(__xludf.DUMMYFUNCTION("""COMPUTED_VALUE"""),15)</f>
        <v>15</v>
      </c>
      <c r="C20" s="61" t="str">
        <f ca="1">IFERROR(__xludf.DUMMYFUNCTION("""COMPUTED_VALUE"""),"Green Mountain Sugar Maple")</f>
        <v>Green Mountain Sugar Maple</v>
      </c>
      <c r="D20" s="61" t="str">
        <f ca="1">IFERROR(__xludf.DUMMYFUNCTION("""COMPUTED_VALUE"""),"#15")</f>
        <v>#15</v>
      </c>
      <c r="E20" s="61" t="str">
        <f ca="1">IFERROR(__xludf.DUMMYFUNCTION("""COMPUTED_VALUE"""),"1.25-1.5""")</f>
        <v>1.25-1.5"</v>
      </c>
      <c r="F20" s="61" t="str">
        <f ca="1">IFERROR(__xludf.DUMMYFUNCTION("""COMPUTED_VALUE"""),"12-12'")</f>
        <v>12-12'</v>
      </c>
      <c r="G20" s="62">
        <f ca="1">IFERROR(__xludf.DUMMYFUNCTION("""COMPUTED_VALUE"""),4)</f>
        <v>4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tataricum 'Hot Wings'")</f>
        <v>Acer tataricum 'Hot Wings'</v>
      </c>
      <c r="B21" s="61">
        <f ca="1">IFERROR(__xludf.DUMMYFUNCTION("""COMPUTED_VALUE"""),15)</f>
        <v>15</v>
      </c>
      <c r="C21" s="61" t="str">
        <f ca="1">IFERROR(__xludf.DUMMYFUNCTION("""COMPUTED_VALUE"""),"Hot Wings Maple")</f>
        <v>Hot Wings Maple</v>
      </c>
      <c r="D21" s="61" t="str">
        <f ca="1">IFERROR(__xludf.DUMMYFUNCTION("""COMPUTED_VALUE"""),"#15")</f>
        <v>#15</v>
      </c>
      <c r="E21" s="61" t="str">
        <f ca="1">IFERROR(__xludf.DUMMYFUNCTION("""COMPUTED_VALUE"""),"1-1.5""")</f>
        <v>1-1.5"</v>
      </c>
      <c r="F21" s="61" t="str">
        <f ca="1">IFERROR(__xludf.DUMMYFUNCTION("""COMPUTED_VALUE"""),"9-12'")</f>
        <v>9-12'</v>
      </c>
      <c r="G21" s="62">
        <f ca="1">IFERROR(__xludf.DUMMYFUNCTION("""COMPUTED_VALUE"""),7)</f>
        <v>7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tataricum 'Hot Wings'")</f>
        <v>Acer tataricum 'Hot Wings'</v>
      </c>
      <c r="B22" s="61">
        <f ca="1">IFERROR(__xludf.DUMMYFUNCTION("""COMPUTED_VALUE"""),25)</f>
        <v>25</v>
      </c>
      <c r="C22" s="61" t="str">
        <f ca="1">IFERROR(__xludf.DUMMYFUNCTION("""COMPUTED_VALUE"""),"Hot Wings Maple")</f>
        <v>Hot Wings Maple</v>
      </c>
      <c r="D22" s="61" t="str">
        <f ca="1">IFERROR(__xludf.DUMMYFUNCTION("""COMPUTED_VALUE"""),"#25")</f>
        <v>#25</v>
      </c>
      <c r="E22" s="61" t="str">
        <f ca="1">IFERROR(__xludf.DUMMYFUNCTION("""COMPUTED_VALUE"""),"1.75-1.75""")</f>
        <v>1.75-1.75"</v>
      </c>
      <c r="F22" s="61" t="str">
        <f ca="1">IFERROR(__xludf.DUMMYFUNCTION("""COMPUTED_VALUE"""),"11-12'")</f>
        <v>11-12'</v>
      </c>
      <c r="G22" s="62">
        <f ca="1">IFERROR(__xludf.DUMMYFUNCTION("""COMPUTED_VALUE"""),3)</f>
        <v>3</v>
      </c>
      <c r="H22" s="63">
        <f ca="1">IFERROR(__xludf.DUMMYFUNCTION("""COMPUTED_VALUE"""),150)</f>
        <v>150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x freemanii")</f>
        <v>Acer x freemanii</v>
      </c>
      <c r="B23" s="61">
        <f ca="1">IFERROR(__xludf.DUMMYFUNCTION("""COMPUTED_VALUE"""),10)</f>
        <v>10</v>
      </c>
      <c r="C23" s="61" t="str">
        <f ca="1">IFERROR(__xludf.DUMMYFUNCTION("""COMPUTED_VALUE"""),"Autumn Blaze Maple")</f>
        <v>Autumn Blaze Maple</v>
      </c>
      <c r="D23" s="61" t="str">
        <f ca="1">IFERROR(__xludf.DUMMYFUNCTION("""COMPUTED_VALUE"""),"#10")</f>
        <v>#10</v>
      </c>
      <c r="E23" s="61" t="str">
        <f ca="1">IFERROR(__xludf.DUMMYFUNCTION("""COMPUTED_VALUE"""),"1-1""")</f>
        <v>1-1"</v>
      </c>
      <c r="F23" s="61" t="str">
        <f ca="1">IFERROR(__xludf.DUMMYFUNCTION("""COMPUTED_VALUE"""),"8-9'")</f>
        <v>8-9'</v>
      </c>
      <c r="G23" s="62">
        <f ca="1">IFERROR(__xludf.DUMMYFUNCTION("""COMPUTED_VALUE"""),1)</f>
        <v>1</v>
      </c>
      <c r="H23" s="63">
        <f ca="1">IFERROR(__xludf.DUMMYFUNCTION("""COMPUTED_VALUE"""),100)</f>
        <v>100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x freemanii")</f>
        <v>Acer x freemanii</v>
      </c>
      <c r="B24" s="61">
        <f ca="1">IFERROR(__xludf.DUMMYFUNCTION("""COMPUTED_VALUE"""),15)</f>
        <v>15</v>
      </c>
      <c r="C24" s="61" t="str">
        <f ca="1">IFERROR(__xludf.DUMMYFUNCTION("""COMPUTED_VALUE"""),"Autumn Blaze Maple")</f>
        <v>Autumn Blaze Maple</v>
      </c>
      <c r="D24" s="61" t="str">
        <f ca="1">IFERROR(__xludf.DUMMYFUNCTION("""COMPUTED_VALUE"""),"#15")</f>
        <v>#15</v>
      </c>
      <c r="E24" s="61" t="str">
        <f ca="1">IFERROR(__xludf.DUMMYFUNCTION("""COMPUTED_VALUE"""),"1.25-1.25""")</f>
        <v>1.25-1.25"</v>
      </c>
      <c r="F24" s="61" t="str">
        <f ca="1">IFERROR(__xludf.DUMMYFUNCTION("""COMPUTED_VALUE"""),"10-11'")</f>
        <v>10-11'</v>
      </c>
      <c r="G24" s="62">
        <f ca="1">IFERROR(__xludf.DUMMYFUNCTION("""COMPUTED_VALUE"""),1)</f>
        <v>1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IFERROR(__xludf.DUMMYFUNCTION("""COMPUTED_VALUE"""),"Acer x freemanii 'Bailston'")</f>
        <v>Acer x freemanii 'Bailston'</v>
      </c>
      <c r="B25" s="61">
        <f ca="1">IFERROR(__xludf.DUMMYFUNCTION("""COMPUTED_VALUE"""),15)</f>
        <v>15</v>
      </c>
      <c r="C25" s="61" t="str">
        <f ca="1">IFERROR(__xludf.DUMMYFUNCTION("""COMPUTED_VALUE"""),"Matador Maple")</f>
        <v>Matador Maple</v>
      </c>
      <c r="D25" s="61" t="str">
        <f ca="1">IFERROR(__xludf.DUMMYFUNCTION("""COMPUTED_VALUE"""),"#15")</f>
        <v>#15</v>
      </c>
      <c r="E25" s="61" t="str">
        <f ca="1">IFERROR(__xludf.DUMMYFUNCTION("""COMPUTED_VALUE"""),"1.25-1.25""")</f>
        <v>1.25-1.25"</v>
      </c>
      <c r="F25" s="61" t="str">
        <f ca="1">IFERROR(__xludf.DUMMYFUNCTION("""COMPUTED_VALUE"""),"11-12'")</f>
        <v>11-12'</v>
      </c>
      <c r="G25" s="62">
        <f ca="1">IFERROR(__xludf.DUMMYFUNCTION("""COMPUTED_VALUE"""),4)</f>
        <v>4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IFERROR(__xludf.DUMMYFUNCTION("""COMPUTED_VALUE"""),"Aesculus carnea 'Ft. McNair'")</f>
        <v>Aesculus carnea 'Ft. McNair'</v>
      </c>
      <c r="B26" s="61">
        <f ca="1">IFERROR(__xludf.DUMMYFUNCTION("""COMPUTED_VALUE"""),15)</f>
        <v>15</v>
      </c>
      <c r="C26" s="61" t="str">
        <f ca="1">IFERROR(__xludf.DUMMYFUNCTION("""COMPUTED_VALUE"""),"Ft. McNair Horsechestnut")</f>
        <v>Ft. McNair Horsechestnut</v>
      </c>
      <c r="D26" s="61" t="str">
        <f ca="1">IFERROR(__xludf.DUMMYFUNCTION("""COMPUTED_VALUE"""),"#15")</f>
        <v>#15</v>
      </c>
      <c r="E26" s="61" t="str">
        <f ca="1">IFERROR(__xludf.DUMMYFUNCTION("""COMPUTED_VALUE"""),"1-1.25""")</f>
        <v>1-1.25"</v>
      </c>
      <c r="F26" s="61" t="str">
        <f ca="1">IFERROR(__xludf.DUMMYFUNCTION("""COMPUTED_VALUE"""),"7-9'")</f>
        <v>7-9'</v>
      </c>
      <c r="G26" s="62">
        <f ca="1">IFERROR(__xludf.DUMMYFUNCTION("""COMPUTED_VALUE"""),6)</f>
        <v>6</v>
      </c>
      <c r="H26" s="63">
        <f ca="1">IFERROR(__xludf.DUMMYFUNCTION("""COMPUTED_VALUE"""),135)</f>
        <v>135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IFERROR(__xludf.DUMMYFUNCTION("""COMPUTED_VALUE"""),"Aesculus flava")</f>
        <v>Aesculus flava</v>
      </c>
      <c r="B27" s="61">
        <f ca="1">IFERROR(__xludf.DUMMYFUNCTION("""COMPUTED_VALUE"""),5)</f>
        <v>5</v>
      </c>
      <c r="C27" s="61" t="str">
        <f ca="1">IFERROR(__xludf.DUMMYFUNCTION("""COMPUTED_VALUE"""),"Yellow Buckeye")</f>
        <v>Yellow Buckeye</v>
      </c>
      <c r="D27" s="61" t="str">
        <f ca="1">IFERROR(__xludf.DUMMYFUNCTION("""COMPUTED_VALUE"""),"#5")</f>
        <v>#5</v>
      </c>
      <c r="E27" s="61" t="str">
        <f ca="1">IFERROR(__xludf.DUMMYFUNCTION("""COMPUTED_VALUE"""),"0.5-0.75""")</f>
        <v>0.5-0.75"</v>
      </c>
      <c r="F27" s="61" t="str">
        <f ca="1">IFERROR(__xludf.DUMMYFUNCTION("""COMPUTED_VALUE"""),"1-2'")</f>
        <v>1-2'</v>
      </c>
      <c r="G27" s="62">
        <f ca="1">IFERROR(__xludf.DUMMYFUNCTION("""COMPUTED_VALUE"""),4)</f>
        <v>4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IFERROR(__xludf.DUMMYFUNCTION("""COMPUTED_VALUE"""),"Aesculus parviflora")</f>
        <v>Aesculus parviflora</v>
      </c>
      <c r="B28" s="61">
        <f ca="1">IFERROR(__xludf.DUMMYFUNCTION("""COMPUTED_VALUE"""),5)</f>
        <v>5</v>
      </c>
      <c r="C28" s="61" t="str">
        <f ca="1">IFERROR(__xludf.DUMMYFUNCTION("""COMPUTED_VALUE"""),"Bottlebrush Buckeye")</f>
        <v>Bottlebrush Buckeye</v>
      </c>
      <c r="D28" s="61" t="str">
        <f ca="1">IFERROR(__xludf.DUMMYFUNCTION("""COMPUTED_VALUE"""),"#5")</f>
        <v>#5</v>
      </c>
      <c r="E28" s="61" t="str">
        <f ca="1">IFERROR(__xludf.DUMMYFUNCTION("""COMPUTED_VALUE"""),"Multi")</f>
        <v>Multi</v>
      </c>
      <c r="F28" s="61" t="str">
        <f ca="1">IFERROR(__xludf.DUMMYFUNCTION("""COMPUTED_VALUE"""),"3-5'")</f>
        <v>3-5'</v>
      </c>
      <c r="G28" s="62">
        <f ca="1">IFERROR(__xludf.DUMMYFUNCTION("""COMPUTED_VALUE"""),43)</f>
        <v>43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IFERROR(__xludf.DUMMYFUNCTION("""COMPUTED_VALUE"""),"Albizia julibrissin 'E.H.Wilson'")</f>
        <v>Albizia julibrissin 'E.H.Wilson'</v>
      </c>
      <c r="B29" s="61">
        <f ca="1">IFERROR(__xludf.DUMMYFUNCTION("""COMPUTED_VALUE"""),5)</f>
        <v>5</v>
      </c>
      <c r="C29" s="61" t="str">
        <f ca="1">IFERROR(__xludf.DUMMYFUNCTION("""COMPUTED_VALUE"""),"Cold Hardy Mimosa")</f>
        <v>Cold Hardy Mimosa</v>
      </c>
      <c r="D29" s="61" t="str">
        <f ca="1">IFERROR(__xludf.DUMMYFUNCTION("""COMPUTED_VALUE"""),"#5")</f>
        <v>#5</v>
      </c>
      <c r="E29" s="61" t="str">
        <f ca="1">IFERROR(__xludf.DUMMYFUNCTION("""COMPUTED_VALUE"""),"1-1.25""")</f>
        <v>1-1.25"</v>
      </c>
      <c r="F29" s="61" t="str">
        <f ca="1">IFERROR(__xludf.DUMMYFUNCTION("""COMPUTED_VALUE"""),"6-8'")</f>
        <v>6-8'</v>
      </c>
      <c r="G29" s="62">
        <f ca="1">IFERROR(__xludf.DUMMYFUNCTION("""COMPUTED_VALUE"""),9)</f>
        <v>9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IFERROR(__xludf.DUMMYFUNCTION("""COMPUTED_VALUE"""),"Amelanchier canadensis")</f>
        <v>Amelanchier canadensis</v>
      </c>
      <c r="B30" s="61">
        <f ca="1">IFERROR(__xludf.DUMMYFUNCTION("""COMPUTED_VALUE"""),5)</f>
        <v>5</v>
      </c>
      <c r="C30" s="61" t="str">
        <f ca="1">IFERROR(__xludf.DUMMYFUNCTION("""COMPUTED_VALUE"""),"Canadensis Serviceberry")</f>
        <v>Canadensis Serviceberry</v>
      </c>
      <c r="D30" s="61" t="str">
        <f ca="1">IFERROR(__xludf.DUMMYFUNCTION("""COMPUTED_VALUE"""),"#5")</f>
        <v>#5</v>
      </c>
      <c r="E30" s="61" t="str">
        <f ca="1">IFERROR(__xludf.DUMMYFUNCTION("""COMPUTED_VALUE"""),"Multi")</f>
        <v>Multi</v>
      </c>
      <c r="F30" s="61" t="str">
        <f ca="1">IFERROR(__xludf.DUMMYFUNCTION("""COMPUTED_VALUE"""),"4-5'")</f>
        <v>4-5'</v>
      </c>
      <c r="G30" s="62">
        <f ca="1">IFERROR(__xludf.DUMMYFUNCTION("""COMPUTED_VALUE"""),156)</f>
        <v>156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IFERROR(__xludf.DUMMYFUNCTION("""COMPUTED_VALUE"""),"Amelanchier grandiflora 'Autumn Brilliance'")</f>
        <v>Amelanchier grandiflora 'Autumn Brilliance'</v>
      </c>
      <c r="B31" s="61">
        <f ca="1">IFERROR(__xludf.DUMMYFUNCTION("""COMPUTED_VALUE"""),5)</f>
        <v>5</v>
      </c>
      <c r="C31" s="61" t="str">
        <f ca="1">IFERROR(__xludf.DUMMYFUNCTION("""COMPUTED_VALUE"""),"Autumn Brilliance Serviceberry")</f>
        <v>Autumn Brilliance Serviceberry</v>
      </c>
      <c r="D31" s="61" t="str">
        <f ca="1">IFERROR(__xludf.DUMMYFUNCTION("""COMPUTED_VALUE"""),"#5")</f>
        <v>#5</v>
      </c>
      <c r="E31" s="61" t="str">
        <f ca="1">IFERROR(__xludf.DUMMYFUNCTION("""COMPUTED_VALUE"""),"Multi")</f>
        <v>Multi</v>
      </c>
      <c r="F31" s="61" t="str">
        <f ca="1">IFERROR(__xludf.DUMMYFUNCTION("""COMPUTED_VALUE"""),"4.5-6'")</f>
        <v>4.5-6'</v>
      </c>
      <c r="G31" s="62">
        <f ca="1">IFERROR(__xludf.DUMMYFUNCTION("""COMPUTED_VALUE"""),25)</f>
        <v>25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IFERROR(__xludf.DUMMYFUNCTION("""COMPUTED_VALUE"""),"Amelanchier grandiflora 'Autumn Brilliance'")</f>
        <v>Amelanchier grandiflora 'Autumn Brilliance'</v>
      </c>
      <c r="B32" s="61">
        <f ca="1">IFERROR(__xludf.DUMMYFUNCTION("""COMPUTED_VALUE"""),10)</f>
        <v>10</v>
      </c>
      <c r="C32" s="61" t="str">
        <f ca="1">IFERROR(__xludf.DUMMYFUNCTION("""COMPUTED_VALUE"""),"Autumn Brilliance Serviceberry")</f>
        <v>Autumn Brilliance Serviceberry</v>
      </c>
      <c r="D32" s="61" t="str">
        <f ca="1">IFERROR(__xludf.DUMMYFUNCTION("""COMPUTED_VALUE"""),"#10")</f>
        <v>#10</v>
      </c>
      <c r="E32" s="61" t="str">
        <f ca="1">IFERROR(__xludf.DUMMYFUNCTION("""COMPUTED_VALUE"""),"Multi")</f>
        <v>Multi</v>
      </c>
      <c r="F32" s="61" t="str">
        <f ca="1">IFERROR(__xludf.DUMMYFUNCTION("""COMPUTED_VALUE"""),"6-7'")</f>
        <v>6-7'</v>
      </c>
      <c r="G32" s="62">
        <f ca="1">IFERROR(__xludf.DUMMYFUNCTION("""COMPUTED_VALUE"""),6)</f>
        <v>6</v>
      </c>
      <c r="H32" s="63">
        <f ca="1">IFERROR(__xludf.DUMMYFUNCTION("""COMPUTED_VALUE"""),100)</f>
        <v>100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IFERROR(__xludf.DUMMYFUNCTION("""COMPUTED_VALUE"""),"Amelanchier laevis")</f>
        <v>Amelanchier laevis</v>
      </c>
      <c r="B33" s="61">
        <f ca="1">IFERROR(__xludf.DUMMYFUNCTION("""COMPUTED_VALUE"""),5)</f>
        <v>5</v>
      </c>
      <c r="C33" s="61" t="str">
        <f ca="1">IFERROR(__xludf.DUMMYFUNCTION("""COMPUTED_VALUE"""),"Allegheny Serviceberry")</f>
        <v>Allegheny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IFERROR(__xludf.DUMMYFUNCTION("""COMPUTED_VALUE"""),"4-10'")</f>
        <v>4-10'</v>
      </c>
      <c r="G33" s="62">
        <f ca="1">IFERROR(__xludf.DUMMYFUNCTION("""COMPUTED_VALUE"""),292)</f>
        <v>292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IFERROR(__xludf.DUMMYFUNCTION("""COMPUTED_VALUE"""),"Amelanchier lamarckii")</f>
        <v>Amelanchier lamarckii</v>
      </c>
      <c r="B34" s="61">
        <f ca="1">IFERROR(__xludf.DUMMYFUNCTION("""COMPUTED_VALUE"""),5)</f>
        <v>5</v>
      </c>
      <c r="C34" s="61" t="str">
        <f ca="1">IFERROR(__xludf.DUMMYFUNCTION("""COMPUTED_VALUE"""),"Lamarckii Serviceberry")</f>
        <v>Lamarckii Serviceberry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IFERROR(__xludf.DUMMYFUNCTION("""COMPUTED_VALUE"""),"3-10'")</f>
        <v>3-10'</v>
      </c>
      <c r="G34" s="62">
        <f ca="1">IFERROR(__xludf.DUMMYFUNCTION("""COMPUTED_VALUE"""),68)</f>
        <v>68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IFERROR(__xludf.DUMMYFUNCTION("""COMPUTED_VALUE"""),"Aronia arbutifolia")</f>
        <v>Aronia arbutifolia</v>
      </c>
      <c r="B35" s="61">
        <f ca="1">IFERROR(__xludf.DUMMYFUNCTION("""COMPUTED_VALUE"""),5)</f>
        <v>5</v>
      </c>
      <c r="C35" s="61" t="str">
        <f ca="1">IFERROR(__xludf.DUMMYFUNCTION("""COMPUTED_VALUE"""),"Red Chokeberry")</f>
        <v>Red Chokeberry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IFERROR(__xludf.DUMMYFUNCTION("""COMPUTED_VALUE"""),"3-4.5'")</f>
        <v>3-4.5'</v>
      </c>
      <c r="G35" s="62">
        <f ca="1">IFERROR(__xludf.DUMMYFUNCTION("""COMPUTED_VALUE"""),25)</f>
        <v>25</v>
      </c>
      <c r="H35" s="63">
        <f ca="1">IFERROR(__xludf.DUMMYFUNCTION("""COMPUTED_VALUE"""),37)</f>
        <v>37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IFERROR(__xludf.DUMMYFUNCTION("""COMPUTED_VALUE"""),"Asimina triloba")</f>
        <v>Asimina triloba</v>
      </c>
      <c r="B36" s="61">
        <f ca="1">IFERROR(__xludf.DUMMYFUNCTION("""COMPUTED_VALUE"""),5)</f>
        <v>5</v>
      </c>
      <c r="C36" s="61" t="str">
        <f ca="1">IFERROR(__xludf.DUMMYFUNCTION("""COMPUTED_VALUE"""),"Pawpaw")</f>
        <v>Pawpaw</v>
      </c>
      <c r="D36" s="61" t="str">
        <f ca="1">IFERROR(__xludf.DUMMYFUNCTION("""COMPUTED_VALUE"""),"#5")</f>
        <v>#5</v>
      </c>
      <c r="E36" s="61" t="str">
        <f ca="1">IFERROR(__xludf.DUMMYFUNCTION("""COMPUTED_VALUE"""),"0.25-0.5""")</f>
        <v>0.25-0.5"</v>
      </c>
      <c r="F36" s="61" t="str">
        <f ca="1">IFERROR(__xludf.DUMMYFUNCTION("""COMPUTED_VALUE"""),"1-4'")</f>
        <v>1-4'</v>
      </c>
      <c r="G36" s="62">
        <f ca="1">IFERROR(__xludf.DUMMYFUNCTION("""COMPUTED_VALUE"""),69)</f>
        <v>69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IFERROR(__xludf.DUMMYFUNCTION("""COMPUTED_VALUE"""),"Betula nigra 'Heritage'")</f>
        <v>Betula nigra 'Heritage'</v>
      </c>
      <c r="B37" s="61">
        <f ca="1">IFERROR(__xludf.DUMMYFUNCTION("""COMPUTED_VALUE"""),5)</f>
        <v>5</v>
      </c>
      <c r="C37" s="61" t="str">
        <f ca="1">IFERROR(__xludf.DUMMYFUNCTION("""COMPUTED_VALUE"""),"Heritage River Birch")</f>
        <v>Heritage River Birch</v>
      </c>
      <c r="D37" s="61" t="str">
        <f ca="1">IFERROR(__xludf.DUMMYFUNCTION("""COMPUTED_VALUE"""),"#5")</f>
        <v>#5</v>
      </c>
      <c r="E37" s="61" t="str">
        <f ca="1">IFERROR(__xludf.DUMMYFUNCTION("""COMPUTED_VALUE"""),"0.5-0.75""")</f>
        <v>0.5-0.75"</v>
      </c>
      <c r="F37" s="61" t="str">
        <f ca="1">IFERROR(__xludf.DUMMYFUNCTION("""COMPUTED_VALUE"""),"5-7'")</f>
        <v>5-7'</v>
      </c>
      <c r="G37" s="62">
        <f ca="1">IFERROR(__xludf.DUMMYFUNCTION("""COMPUTED_VALUE"""),173)</f>
        <v>173</v>
      </c>
      <c r="H37" s="63">
        <f ca="1">IFERROR(__xludf.DUMMYFUNCTION("""COMPUTED_VALUE"""),50)</f>
        <v>50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IFERROR(__xludf.DUMMYFUNCTION("""COMPUTED_VALUE"""),"Betula nigra 'Heritage'")</f>
        <v>Betula nigra 'Heritage'</v>
      </c>
      <c r="B38" s="61">
        <f ca="1">IFERROR(__xludf.DUMMYFUNCTION("""COMPUTED_VALUE"""),15)</f>
        <v>15</v>
      </c>
      <c r="C38" s="61" t="str">
        <f ca="1">IFERROR(__xludf.DUMMYFUNCTION("""COMPUTED_VALUE"""),"Clump Heritage River Birch")</f>
        <v>Clump Heritage River Birch</v>
      </c>
      <c r="D38" s="61" t="str">
        <f ca="1">IFERROR(__xludf.DUMMYFUNCTION("""COMPUTED_VALUE"""),"#15")</f>
        <v>#15</v>
      </c>
      <c r="E38" s="61" t="str">
        <f ca="1">IFERROR(__xludf.DUMMYFUNCTION("""COMPUTED_VALUE"""),"Multi")</f>
        <v>Multi</v>
      </c>
      <c r="F38" s="61" t="str">
        <f ca="1">IFERROR(__xludf.DUMMYFUNCTION("""COMPUTED_VALUE"""),"8-9.5'")</f>
        <v>8-9.5'</v>
      </c>
      <c r="G38" s="62">
        <f ca="1">IFERROR(__xludf.DUMMYFUNCTION("""COMPUTED_VALUE"""),5)</f>
        <v>5</v>
      </c>
      <c r="H38" s="63">
        <f ca="1">IFERROR(__xludf.DUMMYFUNCTION("""COMPUTED_VALUE"""),135)</f>
        <v>135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IFERROR(__xludf.DUMMYFUNCTION("""COMPUTED_VALUE"""),"Calycanthus floridus")</f>
        <v>Calycanthus floridus</v>
      </c>
      <c r="B39" s="61">
        <f ca="1">IFERROR(__xludf.DUMMYFUNCTION("""COMPUTED_VALUE"""),5)</f>
        <v>5</v>
      </c>
      <c r="C39" s="61" t="str">
        <f ca="1">IFERROR(__xludf.DUMMYFUNCTION("""COMPUTED_VALUE"""),"Carolina Allspice")</f>
        <v>Carolina Allspice</v>
      </c>
      <c r="D39" s="61" t="str">
        <f ca="1">IFERROR(__xludf.DUMMYFUNCTION("""COMPUTED_VALUE"""),"#5")</f>
        <v>#5</v>
      </c>
      <c r="E39" s="61" t="str">
        <f ca="1">IFERROR(__xludf.DUMMYFUNCTION("""COMPUTED_VALUE"""),"Multi")</f>
        <v>Multi</v>
      </c>
      <c r="F39" s="61" t="str">
        <f ca="1">IFERROR(__xludf.DUMMYFUNCTION("""COMPUTED_VALUE"""),"2.5-3.5'")</f>
        <v>2.5-3.5'</v>
      </c>
      <c r="G39" s="62">
        <f ca="1">IFERROR(__xludf.DUMMYFUNCTION("""COMPUTED_VALUE"""),1)</f>
        <v>1</v>
      </c>
      <c r="H39" s="63">
        <f ca="1">IFERROR(__xludf.DUMMYFUNCTION("""COMPUTED_VALUE"""),37)</f>
        <v>37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IFERROR(__xludf.DUMMYFUNCTION("""COMPUTED_VALUE"""),"Carpinus betulus 'Frans Fontaine'")</f>
        <v>Carpinus betulus 'Frans Fontaine'</v>
      </c>
      <c r="B40" s="61">
        <f ca="1">IFERROR(__xludf.DUMMYFUNCTION("""COMPUTED_VALUE"""),7)</f>
        <v>7</v>
      </c>
      <c r="C40" s="61" t="str">
        <f ca="1">IFERROR(__xludf.DUMMYFUNCTION("""COMPUTED_VALUE"""),"Frans Fontaine European Hornbeam")</f>
        <v>Frans Fontaine European Hornbeam</v>
      </c>
      <c r="D40" s="61" t="str">
        <f ca="1">IFERROR(__xludf.DUMMYFUNCTION("""COMPUTED_VALUE"""),"#7")</f>
        <v>#7</v>
      </c>
      <c r="E40" s="61" t="str">
        <f ca="1">IFERROR(__xludf.DUMMYFUNCTION("""COMPUTED_VALUE"""),"0.5-0.75""")</f>
        <v>0.5-0.75"</v>
      </c>
      <c r="F40" s="61" t="str">
        <f ca="1">IFERROR(__xludf.DUMMYFUNCTION("""COMPUTED_VALUE"""),"5-6'")</f>
        <v>5-6'</v>
      </c>
      <c r="G40" s="62">
        <f ca="1">IFERROR(__xludf.DUMMYFUNCTION("""COMPUTED_VALUE"""),7)</f>
        <v>7</v>
      </c>
      <c r="H40" s="63">
        <f ca="1">IFERROR(__xludf.DUMMYFUNCTION("""COMPUTED_VALUE"""),100)</f>
        <v>100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IFERROR(__xludf.DUMMYFUNCTION("""COMPUTED_VALUE"""),"Carpinus caroliniana")</f>
        <v>Carpinus caroliniana</v>
      </c>
      <c r="B41" s="61">
        <f ca="1">IFERROR(__xludf.DUMMYFUNCTION("""COMPUTED_VALUE"""),5)</f>
        <v>5</v>
      </c>
      <c r="C41" s="61" t="str">
        <f ca="1">IFERROR(__xludf.DUMMYFUNCTION("""COMPUTED_VALUE"""),"American Hornbeam")</f>
        <v>American Hornbeam</v>
      </c>
      <c r="D41" s="61" t="str">
        <f ca="1">IFERROR(__xludf.DUMMYFUNCTION("""COMPUTED_VALUE"""),"#5")</f>
        <v>#5</v>
      </c>
      <c r="E41" s="61" t="str">
        <f ca="1">IFERROR(__xludf.DUMMYFUNCTION("""COMPUTED_VALUE"""),"0.75-1.25""")</f>
        <v>0.75-1.25"</v>
      </c>
      <c r="F41" s="61" t="str">
        <f ca="1">IFERROR(__xludf.DUMMYFUNCTION("""COMPUTED_VALUE"""),"5-10'")</f>
        <v>5-10'</v>
      </c>
      <c r="G41" s="62">
        <f ca="1">IFERROR(__xludf.DUMMYFUNCTION("""COMPUTED_VALUE"""),200)</f>
        <v>200</v>
      </c>
      <c r="H41" s="63">
        <f ca="1">IFERROR(__xludf.DUMMYFUNCTION("""COMPUTED_VALUE"""),50)</f>
        <v>50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IFERROR(__xludf.DUMMYFUNCTION("""COMPUTED_VALUE"""),"Carpinus caroliniana")</f>
        <v>Carpinus caroliniana</v>
      </c>
      <c r="B42" s="61">
        <f ca="1">IFERROR(__xludf.DUMMYFUNCTION("""COMPUTED_VALUE"""),7)</f>
        <v>7</v>
      </c>
      <c r="C42" s="61" t="str">
        <f ca="1">IFERROR(__xludf.DUMMYFUNCTION("""COMPUTED_VALUE"""),"American Hornbeam")</f>
        <v>American Hornbeam</v>
      </c>
      <c r="D42" s="61" t="str">
        <f ca="1">IFERROR(__xludf.DUMMYFUNCTION("""COMPUTED_VALUE"""),"#7")</f>
        <v>#7</v>
      </c>
      <c r="E42" s="61" t="str">
        <f ca="1">IFERROR(__xludf.DUMMYFUNCTION("""COMPUTED_VALUE"""),"0.75-1.25""")</f>
        <v>0.75-1.25"</v>
      </c>
      <c r="F42" s="61" t="str">
        <f ca="1">IFERROR(__xludf.DUMMYFUNCTION("""COMPUTED_VALUE"""),"6-8'")</f>
        <v>6-8'</v>
      </c>
      <c r="G42" s="62">
        <f ca="1">IFERROR(__xludf.DUMMYFUNCTION("""COMPUTED_VALUE"""),58)</f>
        <v>58</v>
      </c>
      <c r="H42" s="63">
        <f ca="1">IFERROR(__xludf.DUMMYFUNCTION("""COMPUTED_VALUE"""),70)</f>
        <v>70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IFERROR(__xludf.DUMMYFUNCTION("""COMPUTED_VALUE"""),"Carpinus caroliniana")</f>
        <v>Carpinus caroliniana</v>
      </c>
      <c r="B43" s="61">
        <f ca="1">IFERROR(__xludf.DUMMYFUNCTION("""COMPUTED_VALUE"""),15)</f>
        <v>15</v>
      </c>
      <c r="C43" s="61" t="str">
        <f ca="1">IFERROR(__xludf.DUMMYFUNCTION("""COMPUTED_VALUE"""),"American Hornbeam")</f>
        <v>American Hornbeam</v>
      </c>
      <c r="D43" s="61" t="str">
        <f ca="1">IFERROR(__xludf.DUMMYFUNCTION("""COMPUTED_VALUE"""),"#15")</f>
        <v>#15</v>
      </c>
      <c r="E43" s="61" t="str">
        <f ca="1">IFERROR(__xludf.DUMMYFUNCTION("""COMPUTED_VALUE"""),"1-1.25""")</f>
        <v>1-1.25"</v>
      </c>
      <c r="F43" s="61" t="str">
        <f ca="1">IFERROR(__xludf.DUMMYFUNCTION("""COMPUTED_VALUE"""),"9-10'")</f>
        <v>9-10'</v>
      </c>
      <c r="G43" s="62">
        <f ca="1">IFERROR(__xludf.DUMMYFUNCTION("""COMPUTED_VALUE"""),6)</f>
        <v>6</v>
      </c>
      <c r="H43" s="63">
        <f ca="1">IFERROR(__xludf.DUMMYFUNCTION("""COMPUTED_VALUE"""),135)</f>
        <v>135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IFERROR(__xludf.DUMMYFUNCTION("""COMPUTED_VALUE"""),"Catalpa bignonioides")</f>
        <v>Catalpa bignonioides</v>
      </c>
      <c r="B44" s="61">
        <f ca="1">IFERROR(__xludf.DUMMYFUNCTION("""COMPUTED_VALUE"""),5)</f>
        <v>5</v>
      </c>
      <c r="C44" s="61" t="str">
        <f ca="1">IFERROR(__xludf.DUMMYFUNCTION("""COMPUTED_VALUE"""),"Southern Catalpa")</f>
        <v>Southern Catalpa</v>
      </c>
      <c r="D44" s="61" t="str">
        <f ca="1">IFERROR(__xludf.DUMMYFUNCTION("""COMPUTED_VALUE"""),"#5")</f>
        <v>#5</v>
      </c>
      <c r="E44" s="61" t="str">
        <f ca="1">IFERROR(__xludf.DUMMYFUNCTION("""COMPUTED_VALUE"""),"0.75-1.5""")</f>
        <v>0.75-1.5"</v>
      </c>
      <c r="F44" s="61" t="str">
        <f ca="1">IFERROR(__xludf.DUMMYFUNCTION("""COMPUTED_VALUE"""),"3-7'")</f>
        <v>3-7'</v>
      </c>
      <c r="G44" s="62">
        <f ca="1">IFERROR(__xludf.DUMMYFUNCTION("""COMPUTED_VALUE"""),5)</f>
        <v>5</v>
      </c>
      <c r="H44" s="63">
        <f ca="1">IFERROR(__xludf.DUMMYFUNCTION("""COMPUTED_VALUE"""),50)</f>
        <v>50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IFERROR(__xludf.DUMMYFUNCTION("""COMPUTED_VALUE"""),"Catalpa speciosa")</f>
        <v>Catalpa speciosa</v>
      </c>
      <c r="B45" s="61">
        <f ca="1">IFERROR(__xludf.DUMMYFUNCTION("""COMPUTED_VALUE"""),5)</f>
        <v>5</v>
      </c>
      <c r="C45" s="61" t="str">
        <f ca="1">IFERROR(__xludf.DUMMYFUNCTION("""COMPUTED_VALUE"""),"Northern Catalpa")</f>
        <v>Northern Catalpa</v>
      </c>
      <c r="D45" s="61" t="str">
        <f ca="1">IFERROR(__xludf.DUMMYFUNCTION("""COMPUTED_VALUE"""),"#5")</f>
        <v>#5</v>
      </c>
      <c r="E45" s="61" t="str">
        <f ca="1">IFERROR(__xludf.DUMMYFUNCTION("""COMPUTED_VALUE"""),"1.25-1.25""")</f>
        <v>1.25-1.25"</v>
      </c>
      <c r="F45" s="61" t="str">
        <f ca="1">IFERROR(__xludf.DUMMYFUNCTION("""COMPUTED_VALUE"""),"7-7'")</f>
        <v>7-7'</v>
      </c>
      <c r="G45" s="62">
        <f ca="1">IFERROR(__xludf.DUMMYFUNCTION("""COMPUTED_VALUE"""),1)</f>
        <v>1</v>
      </c>
      <c r="H45" s="63">
        <f ca="1">IFERROR(__xludf.DUMMYFUNCTION("""COMPUTED_VALUE"""),50)</f>
        <v>50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IFERROR(__xludf.DUMMYFUNCTION("""COMPUTED_VALUE"""),"Catalpa speciosa")</f>
        <v>Catalpa speciosa</v>
      </c>
      <c r="B46" s="61">
        <f ca="1">IFERROR(__xludf.DUMMYFUNCTION("""COMPUTED_VALUE"""),15)</f>
        <v>15</v>
      </c>
      <c r="C46" s="61" t="str">
        <f ca="1">IFERROR(__xludf.DUMMYFUNCTION("""COMPUTED_VALUE"""),"Northern Catalpa")</f>
        <v>Northern Catalpa</v>
      </c>
      <c r="D46" s="61" t="str">
        <f ca="1">IFERROR(__xludf.DUMMYFUNCTION("""COMPUTED_VALUE"""),"#15")</f>
        <v>#15</v>
      </c>
      <c r="E46" s="61" t="str">
        <f ca="1">IFERROR(__xludf.DUMMYFUNCTION("""COMPUTED_VALUE"""),"2-2.25""")</f>
        <v>2-2.25"</v>
      </c>
      <c r="F46" s="61" t="str">
        <f ca="1">IFERROR(__xludf.DUMMYFUNCTION("""COMPUTED_VALUE"""),"10-11'")</f>
        <v>10-11'</v>
      </c>
      <c r="G46" s="62">
        <f ca="1">IFERROR(__xludf.DUMMYFUNCTION("""COMPUTED_VALUE"""),3)</f>
        <v>3</v>
      </c>
      <c r="H46" s="63">
        <f ca="1">IFERROR(__xludf.DUMMYFUNCTION("""COMPUTED_VALUE"""),135)</f>
        <v>135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IFERROR(__xludf.DUMMYFUNCTION("""COMPUTED_VALUE"""),"Celtis laevigata")</f>
        <v>Celtis laevigata</v>
      </c>
      <c r="B47" s="61">
        <f ca="1">IFERROR(__xludf.DUMMYFUNCTION("""COMPUTED_VALUE"""),5)</f>
        <v>5</v>
      </c>
      <c r="C47" s="61" t="str">
        <f ca="1">IFERROR(__xludf.DUMMYFUNCTION("""COMPUTED_VALUE"""),"Sugarberry")</f>
        <v>Sugarberry</v>
      </c>
      <c r="D47" s="61" t="str">
        <f ca="1">IFERROR(__xludf.DUMMYFUNCTION("""COMPUTED_VALUE"""),"#5")</f>
        <v>#5</v>
      </c>
      <c r="E47" s="61" t="str">
        <f ca="1">IFERROR(__xludf.DUMMYFUNCTION("""COMPUTED_VALUE"""),"0.5-1.25""")</f>
        <v>0.5-1.25"</v>
      </c>
      <c r="F47" s="61" t="str">
        <f ca="1">IFERROR(__xludf.DUMMYFUNCTION("""COMPUTED_VALUE"""),"4-9'")</f>
        <v>4-9'</v>
      </c>
      <c r="G47" s="62">
        <f ca="1">IFERROR(__xludf.DUMMYFUNCTION("""COMPUTED_VALUE"""),73)</f>
        <v>73</v>
      </c>
      <c r="H47" s="63">
        <f ca="1">IFERROR(__xludf.DUMMYFUNCTION("""COMPUTED_VALUE"""),50)</f>
        <v>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IFERROR(__xludf.DUMMYFUNCTION("""COMPUTED_VALUE"""),"Celtis occidentalis")</f>
        <v>Celtis occidentalis</v>
      </c>
      <c r="B48" s="61">
        <f ca="1">IFERROR(__xludf.DUMMYFUNCTION("""COMPUTED_VALUE"""),5)</f>
        <v>5</v>
      </c>
      <c r="C48" s="61" t="str">
        <f ca="1">IFERROR(__xludf.DUMMYFUNCTION("""COMPUTED_VALUE"""),"Hackberry")</f>
        <v>Hackberry</v>
      </c>
      <c r="D48" s="61" t="str">
        <f ca="1">IFERROR(__xludf.DUMMYFUNCTION("""COMPUTED_VALUE"""),"#5")</f>
        <v>#5</v>
      </c>
      <c r="E48" s="61" t="str">
        <f ca="1">IFERROR(__xludf.DUMMYFUNCTION("""COMPUTED_VALUE"""),"0.75-1.25""")</f>
        <v>0.75-1.25"</v>
      </c>
      <c r="F48" s="61" t="str">
        <f ca="1">IFERROR(__xludf.DUMMYFUNCTION("""COMPUTED_VALUE"""),"5-11'")</f>
        <v>5-11'</v>
      </c>
      <c r="G48" s="62">
        <f ca="1">IFERROR(__xludf.DUMMYFUNCTION("""COMPUTED_VALUE"""),257)</f>
        <v>257</v>
      </c>
      <c r="H48" s="63">
        <f ca="1">IFERROR(__xludf.DUMMYFUNCTION("""COMPUTED_VALUE"""),50)</f>
        <v>50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IFERROR(__xludf.DUMMYFUNCTION("""COMPUTED_VALUE"""),"Celtis occidentalis 'Ultra'")</f>
        <v>Celtis occidentalis 'Ultra'</v>
      </c>
      <c r="B49" s="61">
        <f ca="1">IFERROR(__xludf.DUMMYFUNCTION("""COMPUTED_VALUE"""),25)</f>
        <v>25</v>
      </c>
      <c r="C49" s="61" t="str">
        <f ca="1">IFERROR(__xludf.DUMMYFUNCTION("""COMPUTED_VALUE"""),"Ultra Hackberry (Discounted)")</f>
        <v>Ultra Hackberry (Discounted)</v>
      </c>
      <c r="D49" s="61" t="str">
        <f ca="1">IFERROR(__xludf.DUMMYFUNCTION("""COMPUTED_VALUE"""),"#25")</f>
        <v>#25</v>
      </c>
      <c r="E49" s="61" t="str">
        <f ca="1">IFERROR(__xludf.DUMMYFUNCTION("""COMPUTED_VALUE"""),"1.75-2""")</f>
        <v>1.75-2"</v>
      </c>
      <c r="F49" s="61" t="str">
        <f ca="1">IFERROR(__xludf.DUMMYFUNCTION("""COMPUTED_VALUE"""),"12-13'")</f>
        <v>12-13'</v>
      </c>
      <c r="G49" s="62">
        <f ca="1">IFERROR(__xludf.DUMMYFUNCTION("""COMPUTED_VALUE"""),3)</f>
        <v>3</v>
      </c>
      <c r="H49" s="63">
        <f ca="1">IFERROR(__xludf.DUMMYFUNCTION("""COMPUTED_VALUE"""),100)</f>
        <v>100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IFERROR(__xludf.DUMMYFUNCTION("""COMPUTED_VALUE"""),"Cephalanthus occidentalis")</f>
        <v>Cephalanthus occidentalis</v>
      </c>
      <c r="B50" s="61">
        <f ca="1">IFERROR(__xludf.DUMMYFUNCTION("""COMPUTED_VALUE"""),5)</f>
        <v>5</v>
      </c>
      <c r="C50" s="61" t="str">
        <f ca="1">IFERROR(__xludf.DUMMYFUNCTION("""COMPUTED_VALUE"""),"Buttonbush")</f>
        <v>Buttonbush</v>
      </c>
      <c r="D50" s="61" t="str">
        <f ca="1">IFERROR(__xludf.DUMMYFUNCTION("""COMPUTED_VALUE"""),"#5")</f>
        <v>#5</v>
      </c>
      <c r="E50" s="61" t="str">
        <f ca="1">IFERROR(__xludf.DUMMYFUNCTION("""COMPUTED_VALUE"""),"Multi")</f>
        <v>Multi</v>
      </c>
      <c r="F50" s="61" t="str">
        <f ca="1">IFERROR(__xludf.DUMMYFUNCTION("""COMPUTED_VALUE"""),"3-3'")</f>
        <v>3-3'</v>
      </c>
      <c r="G50" s="62">
        <f ca="1">IFERROR(__xludf.DUMMYFUNCTION("""COMPUTED_VALUE"""),31)</f>
        <v>31</v>
      </c>
      <c r="H50" s="63">
        <f ca="1">IFERROR(__xludf.DUMMYFUNCTION("""COMPUTED_VALUE"""),37)</f>
        <v>37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IFERROR(__xludf.DUMMYFUNCTION("""COMPUTED_VALUE"""),"Cercis canadensis")</f>
        <v>Cercis canadensis</v>
      </c>
      <c r="B51" s="61">
        <f ca="1">IFERROR(__xludf.DUMMYFUNCTION("""COMPUTED_VALUE"""),5)</f>
        <v>5</v>
      </c>
      <c r="C51" s="61" t="str">
        <f ca="1">IFERROR(__xludf.DUMMYFUNCTION("""COMPUTED_VALUE"""),"Eastern Redbud")</f>
        <v>Eastern Redbud</v>
      </c>
      <c r="D51" s="61" t="str">
        <f ca="1">IFERROR(__xludf.DUMMYFUNCTION("""COMPUTED_VALUE"""),"#5")</f>
        <v>#5</v>
      </c>
      <c r="E51" s="61" t="str">
        <f ca="1">IFERROR(__xludf.DUMMYFUNCTION("""COMPUTED_VALUE"""),"0.25-0.75""")</f>
        <v>0.25-0.75"</v>
      </c>
      <c r="F51" s="61" t="str">
        <f ca="1">IFERROR(__xludf.DUMMYFUNCTION("""COMPUTED_VALUE"""),"4-7'")</f>
        <v>4-7'</v>
      </c>
      <c r="G51" s="62">
        <f ca="1">IFERROR(__xludf.DUMMYFUNCTION("""COMPUTED_VALUE"""),109)</f>
        <v>109</v>
      </c>
      <c r="H51" s="63">
        <f ca="1">IFERROR(__xludf.DUMMYFUNCTION("""COMPUTED_VALUE"""),50)</f>
        <v>50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IFERROR(__xludf.DUMMYFUNCTION("""COMPUTED_VALUE"""),"Cercis canadensis")</f>
        <v>Cercis canadensis</v>
      </c>
      <c r="B52" s="61">
        <f ca="1">IFERROR(__xludf.DUMMYFUNCTION("""COMPUTED_VALUE"""),7)</f>
        <v>7</v>
      </c>
      <c r="C52" s="61" t="str">
        <f ca="1">IFERROR(__xludf.DUMMYFUNCTION("""COMPUTED_VALUE"""),"Eastern Redbud")</f>
        <v>Eastern Redbud</v>
      </c>
      <c r="D52" s="61" t="str">
        <f ca="1">IFERROR(__xludf.DUMMYFUNCTION("""COMPUTED_VALUE"""),"#7")</f>
        <v>#7</v>
      </c>
      <c r="E52" s="61" t="str">
        <f ca="1">IFERROR(__xludf.DUMMYFUNCTION("""COMPUTED_VALUE"""),"0.75-1""")</f>
        <v>0.75-1"</v>
      </c>
      <c r="F52" s="61" t="str">
        <f ca="1">IFERROR(__xludf.DUMMYFUNCTION("""COMPUTED_VALUE"""),"6-9'")</f>
        <v>6-9'</v>
      </c>
      <c r="G52" s="62">
        <f ca="1">IFERROR(__xludf.DUMMYFUNCTION("""COMPUTED_VALUE"""),1)</f>
        <v>1</v>
      </c>
      <c r="H52" s="63">
        <f ca="1">IFERROR(__xludf.DUMMYFUNCTION("""COMPUTED_VALUE"""),70)</f>
        <v>70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IFERROR(__xludf.DUMMYFUNCTION("""COMPUTED_VALUE"""),"Cercis canadensis")</f>
        <v>Cercis canadensis</v>
      </c>
      <c r="B53" s="61">
        <f ca="1">IFERROR(__xludf.DUMMYFUNCTION("""COMPUTED_VALUE"""),10)</f>
        <v>10</v>
      </c>
      <c r="C53" s="61" t="str">
        <f ca="1">IFERROR(__xludf.DUMMYFUNCTION("""COMPUTED_VALUE"""),"Eastern Redbud")</f>
        <v>Eastern Redbud</v>
      </c>
      <c r="D53" s="61" t="str">
        <f ca="1">IFERROR(__xludf.DUMMYFUNCTION("""COMPUTED_VALUE"""),"#10")</f>
        <v>#10</v>
      </c>
      <c r="E53" s="61" t="str">
        <f ca="1">IFERROR(__xludf.DUMMYFUNCTION("""COMPUTED_VALUE"""),"0.75-1.5""")</f>
        <v>0.75-1.5"</v>
      </c>
      <c r="F53" s="61" t="str">
        <f ca="1">IFERROR(__xludf.DUMMYFUNCTION("""COMPUTED_VALUE"""),"6-11'")</f>
        <v>6-11'</v>
      </c>
      <c r="G53" s="62">
        <f ca="1">IFERROR(__xludf.DUMMYFUNCTION("""COMPUTED_VALUE"""),15)</f>
        <v>15</v>
      </c>
      <c r="H53" s="63">
        <f ca="1">IFERROR(__xludf.DUMMYFUNCTION("""COMPUTED_VALUE"""),100)</f>
        <v>100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canadensis")</f>
        <v>Cercis canadensis</v>
      </c>
      <c r="B54" s="61">
        <f ca="1">IFERROR(__xludf.DUMMYFUNCTION("""COMPUTED_VALUE"""),15)</f>
        <v>15</v>
      </c>
      <c r="C54" s="61" t="str">
        <f ca="1">IFERROR(__xludf.DUMMYFUNCTION("""COMPUTED_VALUE"""),"Eastern Redbud")</f>
        <v>Eastern Redbud</v>
      </c>
      <c r="D54" s="61" t="str">
        <f ca="1">IFERROR(__xludf.DUMMYFUNCTION("""COMPUTED_VALUE"""),"#15")</f>
        <v>#15</v>
      </c>
      <c r="E54" s="61" t="str">
        <f ca="1">IFERROR(__xludf.DUMMYFUNCTION("""COMPUTED_VALUE"""),"1.25-1.5""")</f>
        <v>1.25-1.5"</v>
      </c>
      <c r="F54" s="61" t="str">
        <f ca="1">IFERROR(__xludf.DUMMYFUNCTION("""COMPUTED_VALUE"""),"9-11'")</f>
        <v>9-11'</v>
      </c>
      <c r="G54" s="62">
        <f ca="1">IFERROR(__xludf.DUMMYFUNCTION("""COMPUTED_VALUE"""),4)</f>
        <v>4</v>
      </c>
      <c r="H54" s="63">
        <f ca="1">IFERROR(__xludf.DUMMYFUNCTION("""COMPUTED_VALUE"""),135)</f>
        <v>135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 'Forest Pansy'")</f>
        <v>Cercis canadensis 'Forest Pansy'</v>
      </c>
      <c r="B55" s="61">
        <f ca="1">IFERROR(__xludf.DUMMYFUNCTION("""COMPUTED_VALUE"""),10)</f>
        <v>10</v>
      </c>
      <c r="C55" s="61" t="str">
        <f ca="1">IFERROR(__xludf.DUMMYFUNCTION("""COMPUTED_VALUE"""),"Forest Pansy Redbud")</f>
        <v>Forest Pansy Redbud</v>
      </c>
      <c r="D55" s="61" t="str">
        <f ca="1">IFERROR(__xludf.DUMMYFUNCTION("""COMPUTED_VALUE"""),"#10")</f>
        <v>#10</v>
      </c>
      <c r="E55" s="61" t="str">
        <f ca="1">IFERROR(__xludf.DUMMYFUNCTION("""COMPUTED_VALUE"""),"1-1.25""")</f>
        <v>1-1.25"</v>
      </c>
      <c r="F55" s="61" t="str">
        <f ca="1">IFERROR(__xludf.DUMMYFUNCTION("""COMPUTED_VALUE"""),"6-11'")</f>
        <v>6-11'</v>
      </c>
      <c r="G55" s="62">
        <f ca="1">IFERROR(__xludf.DUMMYFUNCTION("""COMPUTED_VALUE"""),31)</f>
        <v>31</v>
      </c>
      <c r="H55" s="63">
        <f ca="1">IFERROR(__xludf.DUMMYFUNCTION("""COMPUTED_VALUE"""),100)</f>
        <v>100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 'Lavender Twist'")</f>
        <v>Cercis canadensis 'Lavender Twist'</v>
      </c>
      <c r="B56" s="61">
        <f ca="1">IFERROR(__xludf.DUMMYFUNCTION("""COMPUTED_VALUE"""),7)</f>
        <v>7</v>
      </c>
      <c r="C56" s="61" t="str">
        <f ca="1">IFERROR(__xludf.DUMMYFUNCTION("""COMPUTED_VALUE"""),"Lavender Twist Redbud")</f>
        <v>Lavender Twist Redbud</v>
      </c>
      <c r="D56" s="61" t="str">
        <f ca="1">IFERROR(__xludf.DUMMYFUNCTION("""COMPUTED_VALUE"""),"#7")</f>
        <v>#7</v>
      </c>
      <c r="E56" s="61" t="str">
        <f ca="1">IFERROR(__xludf.DUMMYFUNCTION("""COMPUTED_VALUE"""),"0.75-1""")</f>
        <v>0.75-1"</v>
      </c>
      <c r="F56" s="61" t="str">
        <f ca="1">IFERROR(__xludf.DUMMYFUNCTION("""COMPUTED_VALUE"""),"4-6'")</f>
        <v>4-6'</v>
      </c>
      <c r="G56" s="62">
        <f ca="1">IFERROR(__xludf.DUMMYFUNCTION("""COMPUTED_VALUE"""),8)</f>
        <v>8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 'Ruby Falls'")</f>
        <v>Cercis canadensis 'Ruby Falls'</v>
      </c>
      <c r="B57" s="61">
        <f ca="1">IFERROR(__xludf.DUMMYFUNCTION("""COMPUTED_VALUE"""),5)</f>
        <v>5</v>
      </c>
      <c r="C57" s="61" t="str">
        <f ca="1">IFERROR(__xludf.DUMMYFUNCTION("""COMPUTED_VALUE"""),"Ruby Falls Redbud")</f>
        <v>Ruby Falls Redbud</v>
      </c>
      <c r="D57" s="61" t="str">
        <f ca="1">IFERROR(__xludf.DUMMYFUNCTION("""COMPUTED_VALUE"""),"#5")</f>
        <v>#5</v>
      </c>
      <c r="E57" s="61" t="str">
        <f ca="1">IFERROR(__xludf.DUMMYFUNCTION("""COMPUTED_VALUE"""),"0.5-0.5""")</f>
        <v>0.5-0.5"</v>
      </c>
      <c r="F57" s="61" t="str">
        <f ca="1">IFERROR(__xludf.DUMMYFUNCTION("""COMPUTED_VALUE"""),"2-3'")</f>
        <v>2-3'</v>
      </c>
      <c r="G57" s="62">
        <f ca="1">IFERROR(__xludf.DUMMYFUNCTION("""COMPUTED_VALUE"""),5)</f>
        <v>5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 'Whitebud'")</f>
        <v>Cercis canadensis 'Whitebud'</v>
      </c>
      <c r="B58" s="61">
        <f ca="1">IFERROR(__xludf.DUMMYFUNCTION("""COMPUTED_VALUE"""),15)</f>
        <v>15</v>
      </c>
      <c r="C58" s="61" t="str">
        <f ca="1">IFERROR(__xludf.DUMMYFUNCTION("""COMPUTED_VALUE"""),"Whitebud")</f>
        <v>Whitebud</v>
      </c>
      <c r="D58" s="61" t="str">
        <f ca="1">IFERROR(__xludf.DUMMYFUNCTION("""COMPUTED_VALUE"""),"#15")</f>
        <v>#15</v>
      </c>
      <c r="E58" s="61" t="str">
        <f ca="1">IFERROR(__xludf.DUMMYFUNCTION("""COMPUTED_VALUE"""),"1-1""")</f>
        <v>1-1"</v>
      </c>
      <c r="F58" s="61" t="str">
        <f ca="1">IFERROR(__xludf.DUMMYFUNCTION("""COMPUTED_VALUE"""),"7-8'")</f>
        <v>7-8'</v>
      </c>
      <c r="G58" s="62">
        <f ca="1">IFERROR(__xludf.DUMMYFUNCTION("""COMPUTED_VALUE"""),4)</f>
        <v>4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IFERROR(__xludf.DUMMYFUNCTION("""COMPUTED_VALUE"""),"Chionanthus virginicus")</f>
        <v>Chionanthus virginicus</v>
      </c>
      <c r="B59" s="61">
        <f ca="1">IFERROR(__xludf.DUMMYFUNCTION("""COMPUTED_VALUE"""),5)</f>
        <v>5</v>
      </c>
      <c r="C59" s="61" t="str">
        <f ca="1">IFERROR(__xludf.DUMMYFUNCTION("""COMPUTED_VALUE"""),"White Fringe Tree")</f>
        <v>White Fringe Tree</v>
      </c>
      <c r="D59" s="61" t="str">
        <f ca="1">IFERROR(__xludf.DUMMYFUNCTION("""COMPUTED_VALUE"""),"#5")</f>
        <v>#5</v>
      </c>
      <c r="E59" s="61" t="str">
        <f ca="1">IFERROR(__xludf.DUMMYFUNCTION("""COMPUTED_VALUE"""),"Multi")</f>
        <v>Multi</v>
      </c>
      <c r="F59" s="61" t="str">
        <f ca="1">IFERROR(__xludf.DUMMYFUNCTION("""COMPUTED_VALUE"""),"1-3'")</f>
        <v>1-3'</v>
      </c>
      <c r="G59" s="62">
        <f ca="1">IFERROR(__xludf.DUMMYFUNCTION("""COMPUTED_VALUE"""),72)</f>
        <v>72</v>
      </c>
      <c r="H59" s="63">
        <f ca="1">IFERROR(__xludf.DUMMYFUNCTION("""COMPUTED_VALUE"""),50)</f>
        <v>50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IFERROR(__xludf.DUMMYFUNCTION("""COMPUTED_VALUE"""),"Cladastris kentuckea 'Perkins Pink'")</f>
        <v>Cladastris kentuckea 'Perkins Pink'</v>
      </c>
      <c r="B60" s="61">
        <f ca="1">IFERROR(__xludf.DUMMYFUNCTION("""COMPUTED_VALUE"""),15)</f>
        <v>15</v>
      </c>
      <c r="C60" s="61" t="str">
        <f ca="1">IFERROR(__xludf.DUMMYFUNCTION("""COMPUTED_VALUE"""),"Perkins Pink Yellowwood")</f>
        <v>Perkins Pink Yellowwood</v>
      </c>
      <c r="D60" s="61" t="str">
        <f ca="1">IFERROR(__xludf.DUMMYFUNCTION("""COMPUTED_VALUE"""),"#15")</f>
        <v>#15</v>
      </c>
      <c r="E60" s="61" t="str">
        <f ca="1">IFERROR(__xludf.DUMMYFUNCTION("""COMPUTED_VALUE"""),"1-1.25""")</f>
        <v>1-1.25"</v>
      </c>
      <c r="F60" s="61" t="str">
        <f ca="1">IFERROR(__xludf.DUMMYFUNCTION("""COMPUTED_VALUE"""),"9-11'")</f>
        <v>9-11'</v>
      </c>
      <c r="G60" s="62">
        <f ca="1">IFERROR(__xludf.DUMMYFUNCTION("""COMPUTED_VALUE"""),3)</f>
        <v>3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IFERROR(__xludf.DUMMYFUNCTION("""COMPUTED_VALUE"""),"Cladrastis kentukea")</f>
        <v>Cladrastis kentukea</v>
      </c>
      <c r="B61" s="61">
        <f ca="1">IFERROR(__xludf.DUMMYFUNCTION("""COMPUTED_VALUE"""),5)</f>
        <v>5</v>
      </c>
      <c r="C61" s="61" t="str">
        <f ca="1">IFERROR(__xludf.DUMMYFUNCTION("""COMPUTED_VALUE"""),"Yellowwood")</f>
        <v>Yellowwood</v>
      </c>
      <c r="D61" s="61" t="str">
        <f ca="1">IFERROR(__xludf.DUMMYFUNCTION("""COMPUTED_VALUE"""),"#5")</f>
        <v>#5</v>
      </c>
      <c r="E61" s="61" t="str">
        <f ca="1">IFERROR(__xludf.DUMMYFUNCTION("""COMPUTED_VALUE"""),"0.5-0.75""")</f>
        <v>0.5-0.75"</v>
      </c>
      <c r="F61" s="61" t="str">
        <f ca="1">IFERROR(__xludf.DUMMYFUNCTION("""COMPUTED_VALUE"""),"4-8'")</f>
        <v>4-8'</v>
      </c>
      <c r="G61" s="62">
        <f ca="1">IFERROR(__xludf.DUMMYFUNCTION("""COMPUTED_VALUE"""),130)</f>
        <v>130</v>
      </c>
      <c r="H61" s="63">
        <f ca="1">IFERROR(__xludf.DUMMYFUNCTION("""COMPUTED_VALUE"""),50)</f>
        <v>50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IFERROR(__xludf.DUMMYFUNCTION("""COMPUTED_VALUE"""),"Cladrastis kentukea")</f>
        <v>Cladrastis kentukea</v>
      </c>
      <c r="B62" s="61">
        <f ca="1">IFERROR(__xludf.DUMMYFUNCTION("""COMPUTED_VALUE"""),15)</f>
        <v>15</v>
      </c>
      <c r="C62" s="61" t="str">
        <f ca="1">IFERROR(__xludf.DUMMYFUNCTION("""COMPUTED_VALUE"""),"Yellowwood")</f>
        <v>Yellowwood</v>
      </c>
      <c r="D62" s="61" t="str">
        <f ca="1">IFERROR(__xludf.DUMMYFUNCTION("""COMPUTED_VALUE"""),"#15")</f>
        <v>#15</v>
      </c>
      <c r="E62" s="61" t="str">
        <f ca="1">IFERROR(__xludf.DUMMYFUNCTION("""COMPUTED_VALUE"""),"1-1.25""")</f>
        <v>1-1.25"</v>
      </c>
      <c r="F62" s="61" t="str">
        <f ca="1">IFERROR(__xludf.DUMMYFUNCTION("""COMPUTED_VALUE"""),"9-10'")</f>
        <v>9-10'</v>
      </c>
      <c r="G62" s="62">
        <f ca="1">IFERROR(__xludf.DUMMYFUNCTION("""COMPUTED_VALUE"""),5)</f>
        <v>5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IFERROR(__xludf.DUMMYFUNCTION("""COMPUTED_VALUE"""),"Cornus 'Appalachian Spring'")</f>
        <v>Cornus 'Appalachian Spring'</v>
      </c>
      <c r="B63" s="61">
        <f ca="1">IFERROR(__xludf.DUMMYFUNCTION("""COMPUTED_VALUE"""),10)</f>
        <v>10</v>
      </c>
      <c r="C63" s="61" t="str">
        <f ca="1">IFERROR(__xludf.DUMMYFUNCTION("""COMPUTED_VALUE"""),"Appalachian Spring Dogwood")</f>
        <v>Appalachian Spring Dogwood</v>
      </c>
      <c r="D63" s="61" t="str">
        <f ca="1">IFERROR(__xludf.DUMMYFUNCTION("""COMPUTED_VALUE"""),"#10")</f>
        <v>#10</v>
      </c>
      <c r="E63" s="61" t="str">
        <f ca="1">IFERROR(__xludf.DUMMYFUNCTION("""COMPUTED_VALUE"""),"0.5-0.75""")</f>
        <v>0.5-0.75"</v>
      </c>
      <c r="F63" s="61" t="str">
        <f ca="1">IFERROR(__xludf.DUMMYFUNCTION("""COMPUTED_VALUE"""),"4-5'")</f>
        <v>4-5'</v>
      </c>
      <c r="G63" s="62">
        <f ca="1">IFERROR(__xludf.DUMMYFUNCTION("""COMPUTED_VALUE"""),1)</f>
        <v>1</v>
      </c>
      <c r="H63" s="63">
        <f ca="1">IFERROR(__xludf.DUMMYFUNCTION("""COMPUTED_VALUE"""),100)</f>
        <v>100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IFERROR(__xludf.DUMMYFUNCTION("""COMPUTED_VALUE"""),"Cornus florida")</f>
        <v>Cornus florida</v>
      </c>
      <c r="B64" s="61">
        <f ca="1">IFERROR(__xludf.DUMMYFUNCTION("""COMPUTED_VALUE"""),5)</f>
        <v>5</v>
      </c>
      <c r="C64" s="61" t="str">
        <f ca="1">IFERROR(__xludf.DUMMYFUNCTION("""COMPUTED_VALUE"""),"White Dogwood")</f>
        <v>White Dogwood</v>
      </c>
      <c r="D64" s="61" t="str">
        <f ca="1">IFERROR(__xludf.DUMMYFUNCTION("""COMPUTED_VALUE"""),"#5")</f>
        <v>#5</v>
      </c>
      <c r="E64" s="61" t="str">
        <f ca="1">IFERROR(__xludf.DUMMYFUNCTION("""COMPUTED_VALUE"""),"0.25-0.75""")</f>
        <v>0.25-0.75"</v>
      </c>
      <c r="F64" s="61" t="str">
        <f ca="1">IFERROR(__xludf.DUMMYFUNCTION("""COMPUTED_VALUE"""),"4-7'")</f>
        <v>4-7'</v>
      </c>
      <c r="G64" s="62">
        <f ca="1">IFERROR(__xludf.DUMMYFUNCTION("""COMPUTED_VALUE"""),159)</f>
        <v>159</v>
      </c>
      <c r="H64" s="63">
        <f ca="1">IFERROR(__xludf.DUMMYFUNCTION("""COMPUTED_VALUE"""),50)</f>
        <v>50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IFERROR(__xludf.DUMMYFUNCTION("""COMPUTED_VALUE"""),"Cornus florida")</f>
        <v>Cornus florida</v>
      </c>
      <c r="B65" s="61">
        <f ca="1">IFERROR(__xludf.DUMMYFUNCTION("""COMPUTED_VALUE"""),7)</f>
        <v>7</v>
      </c>
      <c r="C65" s="61" t="str">
        <f ca="1">IFERROR(__xludf.DUMMYFUNCTION("""COMPUTED_VALUE"""),"White Dogwood")</f>
        <v>White Dogwood</v>
      </c>
      <c r="D65" s="61" t="str">
        <f ca="1">IFERROR(__xludf.DUMMYFUNCTION("""COMPUTED_VALUE"""),"#7")</f>
        <v>#7</v>
      </c>
      <c r="E65" s="61" t="str">
        <f ca="1">IFERROR(__xludf.DUMMYFUNCTION("""COMPUTED_VALUE"""),"0.5-0.75""")</f>
        <v>0.5-0.75"</v>
      </c>
      <c r="F65" s="61" t="str">
        <f ca="1">IFERROR(__xludf.DUMMYFUNCTION("""COMPUTED_VALUE"""),"5-6'")</f>
        <v>5-6'</v>
      </c>
      <c r="G65" s="62">
        <f ca="1">IFERROR(__xludf.DUMMYFUNCTION("""COMPUTED_VALUE"""),86)</f>
        <v>86</v>
      </c>
      <c r="H65" s="63">
        <f ca="1">IFERROR(__xludf.DUMMYFUNCTION("""COMPUTED_VALUE"""),70)</f>
        <v>70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IFERROR(__xludf.DUMMYFUNCTION("""COMPUTED_VALUE"""),"Cornus florida 'Appalachian Mist'")</f>
        <v>Cornus florida 'Appalachian Mist'</v>
      </c>
      <c r="B66" s="61">
        <f ca="1">IFERROR(__xludf.DUMMYFUNCTION("""COMPUTED_VALUE"""),5)</f>
        <v>5</v>
      </c>
      <c r="C66" s="61" t="str">
        <f ca="1">IFERROR(__xludf.DUMMYFUNCTION("""COMPUTED_VALUE"""),"Appalachian Mist Dogwood")</f>
        <v>Appalachian Mist Dogwood</v>
      </c>
      <c r="D66" s="61" t="str">
        <f ca="1">IFERROR(__xludf.DUMMYFUNCTION("""COMPUTED_VALUE"""),"#7")</f>
        <v>#7</v>
      </c>
      <c r="E66" s="61" t="str">
        <f ca="1">IFERROR(__xludf.DUMMYFUNCTION("""COMPUTED_VALUE"""),"0.5-1""")</f>
        <v>0.5-1"</v>
      </c>
      <c r="F66" s="61" t="str">
        <f ca="1">IFERROR(__xludf.DUMMYFUNCTION("""COMPUTED_VALUE"""),"4-5.5'")</f>
        <v>4-5.5'</v>
      </c>
      <c r="G66" s="62">
        <f ca="1">IFERROR(__xludf.DUMMYFUNCTION("""COMPUTED_VALUE"""),25)</f>
        <v>25</v>
      </c>
      <c r="H66" s="63">
        <f ca="1">IFERROR(__xludf.DUMMYFUNCTION("""COMPUTED_VALUE"""),70)</f>
        <v>70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florida 'Appalachian Snow'")</f>
        <v>Cornus florida 'Appalachian Snow'</v>
      </c>
      <c r="B67" s="61">
        <f ca="1">IFERROR(__xludf.DUMMYFUNCTION("""COMPUTED_VALUE"""),5)</f>
        <v>5</v>
      </c>
      <c r="C67" s="61" t="str">
        <f ca="1">IFERROR(__xludf.DUMMYFUNCTION("""COMPUTED_VALUE"""),"Appalachian Snow Dogwood")</f>
        <v>Appalachian Snow Dogwood</v>
      </c>
      <c r="D67" s="61" t="str">
        <f ca="1">IFERROR(__xludf.DUMMYFUNCTION("""COMPUTED_VALUE"""),"#5")</f>
        <v>#5</v>
      </c>
      <c r="E67" s="61" t="str">
        <f ca="1">IFERROR(__xludf.DUMMYFUNCTION("""COMPUTED_VALUE"""),"0.5-0.75""")</f>
        <v>0.5-0.75"</v>
      </c>
      <c r="F67" s="61" t="str">
        <f ca="1">IFERROR(__xludf.DUMMYFUNCTION("""COMPUTED_VALUE"""),"4-5'")</f>
        <v>4-5'</v>
      </c>
      <c r="G67" s="62">
        <f ca="1">IFERROR(__xludf.DUMMYFUNCTION("""COMPUTED_VALUE"""),19)</f>
        <v>19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florida 'Cherokee Brave'")</f>
        <v>Cornus florida 'Cherokee Brave'</v>
      </c>
      <c r="B68" s="61">
        <f ca="1">IFERROR(__xludf.DUMMYFUNCTION("""COMPUTED_VALUE"""),5)</f>
        <v>5</v>
      </c>
      <c r="C68" s="61" t="str">
        <f ca="1">IFERROR(__xludf.DUMMYFUNCTION("""COMPUTED_VALUE"""),"Cherokee Brave Dogwood")</f>
        <v>Cherokee Brave Dogwood</v>
      </c>
      <c r="D68" s="61" t="str">
        <f ca="1">IFERROR(__xludf.DUMMYFUNCTION("""COMPUTED_VALUE"""),"#5")</f>
        <v>#5</v>
      </c>
      <c r="E68" s="61" t="str">
        <f ca="1">IFERROR(__xludf.DUMMYFUNCTION("""COMPUTED_VALUE"""),"0.5-0.75""")</f>
        <v>0.5-0.75"</v>
      </c>
      <c r="F68" s="61" t="str">
        <f ca="1">IFERROR(__xludf.DUMMYFUNCTION("""COMPUTED_VALUE"""),"4-5'")</f>
        <v>4-5'</v>
      </c>
      <c r="G68" s="62">
        <f ca="1">IFERROR(__xludf.DUMMYFUNCTION("""COMPUTED_VALUE"""),111)</f>
        <v>111</v>
      </c>
      <c r="H68" s="63">
        <f ca="1">IFERROR(__xludf.DUMMYFUNCTION("""COMPUTED_VALUE"""),50)</f>
        <v>50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florida 'Cherokee Brave'")</f>
        <v>Cornus florida 'Cherokee Brave'</v>
      </c>
      <c r="B69" s="61">
        <f ca="1">IFERROR(__xludf.DUMMYFUNCTION("""COMPUTED_VALUE"""),7)</f>
        <v>7</v>
      </c>
      <c r="C69" s="61" t="str">
        <f ca="1">IFERROR(__xludf.DUMMYFUNCTION("""COMPUTED_VALUE"""),"Cherokee Brave Dogwood")</f>
        <v>Cherokee Brave Dogwood</v>
      </c>
      <c r="D69" s="61" t="str">
        <f ca="1">IFERROR(__xludf.DUMMYFUNCTION("""COMPUTED_VALUE"""),"#7")</f>
        <v>#7</v>
      </c>
      <c r="E69" s="61" t="str">
        <f ca="1">IFERROR(__xludf.DUMMYFUNCTION("""COMPUTED_VALUE"""),"0.5-1""")</f>
        <v>0.5-1"</v>
      </c>
      <c r="F69" s="61" t="str">
        <f ca="1">IFERROR(__xludf.DUMMYFUNCTION("""COMPUTED_VALUE"""),"4-6'")</f>
        <v>4-6'</v>
      </c>
      <c r="G69" s="62">
        <f ca="1">IFERROR(__xludf.DUMMYFUNCTION("""COMPUTED_VALUE"""),31)</f>
        <v>31</v>
      </c>
      <c r="H69" s="63">
        <f ca="1">IFERROR(__xludf.DUMMYFUNCTION("""COMPUTED_VALUE"""),70)</f>
        <v>70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florida 'Cherokee Brave'")</f>
        <v>Cornus florida 'Cherokee Brave'</v>
      </c>
      <c r="B70" s="61">
        <f ca="1">IFERROR(__xludf.DUMMYFUNCTION("""COMPUTED_VALUE"""),10)</f>
        <v>10</v>
      </c>
      <c r="C70" s="61" t="str">
        <f ca="1">IFERROR(__xludf.DUMMYFUNCTION("""COMPUTED_VALUE"""),"Cherokee Brave Dogwood")</f>
        <v>Cherokee Brave Dogwood</v>
      </c>
      <c r="D70" s="61" t="str">
        <f ca="1">IFERROR(__xludf.DUMMYFUNCTION("""COMPUTED_VALUE"""),"#10")</f>
        <v>#10</v>
      </c>
      <c r="E70" s="61" t="str">
        <f ca="1">IFERROR(__xludf.DUMMYFUNCTION("""COMPUTED_VALUE"""),"0.75-1""")</f>
        <v>0.75-1"</v>
      </c>
      <c r="F70" s="61" t="str">
        <f ca="1">IFERROR(__xludf.DUMMYFUNCTION("""COMPUTED_VALUE"""),"6-8'")</f>
        <v>6-8'</v>
      </c>
      <c r="G70" s="62">
        <f ca="1">IFERROR(__xludf.DUMMYFUNCTION("""COMPUTED_VALUE"""),13)</f>
        <v>13</v>
      </c>
      <c r="H70" s="63">
        <f ca="1">IFERROR(__xludf.DUMMYFUNCTION("""COMPUTED_VALUE"""),100)</f>
        <v>100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florida 'Cherokee Princess'")</f>
        <v>Cornus florida 'Cherokee Princess'</v>
      </c>
      <c r="B71" s="61">
        <f ca="1">IFERROR(__xludf.DUMMYFUNCTION("""COMPUTED_VALUE"""),7)</f>
        <v>7</v>
      </c>
      <c r="C71" s="61" t="str">
        <f ca="1">IFERROR(__xludf.DUMMYFUNCTION("""COMPUTED_VALUE"""),"Cherokee Princess Dogwood")</f>
        <v>Cherokee Princess Dogwood</v>
      </c>
      <c r="D71" s="61" t="str">
        <f ca="1">IFERROR(__xludf.DUMMYFUNCTION("""COMPUTED_VALUE"""),"#7")</f>
        <v>#7</v>
      </c>
      <c r="E71" s="61" t="str">
        <f ca="1">IFERROR(__xludf.DUMMYFUNCTION("""COMPUTED_VALUE"""),"0.5-0.75""")</f>
        <v>0.5-0.75"</v>
      </c>
      <c r="F71" s="61" t="str">
        <f ca="1">IFERROR(__xludf.DUMMYFUNCTION("""COMPUTED_VALUE"""),"4-6'")</f>
        <v>4-6'</v>
      </c>
      <c r="G71" s="62">
        <f ca="1">IFERROR(__xludf.DUMMYFUNCTION("""COMPUTED_VALUE"""),17)</f>
        <v>17</v>
      </c>
      <c r="H71" s="63">
        <f ca="1">IFERROR(__xludf.DUMMYFUNCTION("""COMPUTED_VALUE"""),70)</f>
        <v>70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florida 'Cloud 9'")</f>
        <v>Cornus florida 'Cloud 9'</v>
      </c>
      <c r="B72" s="61">
        <f ca="1">IFERROR(__xludf.DUMMYFUNCTION("""COMPUTED_VALUE"""),5)</f>
        <v>5</v>
      </c>
      <c r="C72" s="61" t="str">
        <f ca="1">IFERROR(__xludf.DUMMYFUNCTION("""COMPUTED_VALUE"""),"Cloud 9 Dogwood")</f>
        <v>Cloud 9 Dogwood</v>
      </c>
      <c r="D72" s="61" t="str">
        <f ca="1">IFERROR(__xludf.DUMMYFUNCTION("""COMPUTED_VALUE"""),"#5")</f>
        <v>#5</v>
      </c>
      <c r="E72" s="61" t="str">
        <f ca="1">IFERROR(__xludf.DUMMYFUNCTION("""COMPUTED_VALUE"""),"0.75-1""")</f>
        <v>0.75-1"</v>
      </c>
      <c r="F72" s="61" t="str">
        <f ca="1">IFERROR(__xludf.DUMMYFUNCTION("""COMPUTED_VALUE"""),"4-5.5'")</f>
        <v>4-5.5'</v>
      </c>
      <c r="G72" s="62">
        <f ca="1">IFERROR(__xludf.DUMMYFUNCTION("""COMPUTED_VALUE"""),21)</f>
        <v>21</v>
      </c>
      <c r="H72" s="63">
        <f ca="1">IFERROR(__xludf.DUMMYFUNCTION("""COMPUTED_VALUE"""),50)</f>
        <v>50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kousa 'Rutpink'")</f>
        <v>Cornus kousa 'Rutpink'</v>
      </c>
      <c r="B73" s="61">
        <f ca="1">IFERROR(__xludf.DUMMYFUNCTION("""COMPUTED_VALUE"""),7)</f>
        <v>7</v>
      </c>
      <c r="C73" s="61" t="str">
        <f ca="1">IFERROR(__xludf.DUMMYFUNCTION("""COMPUTED_VALUE"""),"Scarlet Fire Dogwood")</f>
        <v>Scarlet Fire Dogwood</v>
      </c>
      <c r="D73" s="61" t="str">
        <f ca="1">IFERROR(__xludf.DUMMYFUNCTION("""COMPUTED_VALUE"""),"#7")</f>
        <v>#7</v>
      </c>
      <c r="E73" s="61" t="str">
        <f ca="1">IFERROR(__xludf.DUMMYFUNCTION("""COMPUTED_VALUE"""),"0.75-1.25""")</f>
        <v>0.75-1.25"</v>
      </c>
      <c r="F73" s="61" t="str">
        <f ca="1">IFERROR(__xludf.DUMMYFUNCTION("""COMPUTED_VALUE"""),"7-9'")</f>
        <v>7-9'</v>
      </c>
      <c r="G73" s="62">
        <f ca="1">IFERROR(__xludf.DUMMYFUNCTION("""COMPUTED_VALUE"""),38)</f>
        <v>38</v>
      </c>
      <c r="H73" s="63">
        <f ca="1">IFERROR(__xludf.DUMMYFUNCTION("""COMPUTED_VALUE"""),70)</f>
        <v>70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kousa 'Rutpink'")</f>
        <v>Cornus kousa 'Rutpink'</v>
      </c>
      <c r="B74" s="61">
        <f ca="1">IFERROR(__xludf.DUMMYFUNCTION("""COMPUTED_VALUE"""),10)</f>
        <v>10</v>
      </c>
      <c r="C74" s="61" t="str">
        <f ca="1">IFERROR(__xludf.DUMMYFUNCTION("""COMPUTED_VALUE"""),"Scarlet Fire Dogwood")</f>
        <v>Scarlet Fire Dogwood</v>
      </c>
      <c r="D74" s="61" t="str">
        <f ca="1">IFERROR(__xludf.DUMMYFUNCTION("""COMPUTED_VALUE"""),"#10")</f>
        <v>#10</v>
      </c>
      <c r="E74" s="61" t="str">
        <f ca="1">IFERROR(__xludf.DUMMYFUNCTION("""COMPUTED_VALUE"""),"1-1.5""")</f>
        <v>1-1.5"</v>
      </c>
      <c r="F74" s="61" t="str">
        <f ca="1">IFERROR(__xludf.DUMMYFUNCTION("""COMPUTED_VALUE"""),"8-10'")</f>
        <v>8-10'</v>
      </c>
      <c r="G74" s="62">
        <f ca="1">IFERROR(__xludf.DUMMYFUNCTION("""COMPUTED_VALUE"""),19)</f>
        <v>19</v>
      </c>
      <c r="H74" s="63">
        <f ca="1">IFERROR(__xludf.DUMMYFUNCTION("""COMPUTED_VALUE"""),100)</f>
        <v>100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sericea")</f>
        <v>Cornus sericea</v>
      </c>
      <c r="B75" s="61">
        <f ca="1">IFERROR(__xludf.DUMMYFUNCTION("""COMPUTED_VALUE"""),5)</f>
        <v>5</v>
      </c>
      <c r="C75" s="61" t="str">
        <f ca="1">IFERROR(__xludf.DUMMYFUNCTION("""COMPUTED_VALUE"""),"Red Twig Dogwood")</f>
        <v>Red Twig Dogwood</v>
      </c>
      <c r="D75" s="61" t="str">
        <f ca="1">IFERROR(__xludf.DUMMYFUNCTION("""COMPUTED_VALUE"""),"#5")</f>
        <v>#5</v>
      </c>
      <c r="E75" s="61" t="str">
        <f ca="1">IFERROR(__xludf.DUMMYFUNCTION("""COMPUTED_VALUE"""),"Multi")</f>
        <v>Multi</v>
      </c>
      <c r="F75" s="61" t="str">
        <f ca="1">IFERROR(__xludf.DUMMYFUNCTION("""COMPUTED_VALUE"""),"3-4'")</f>
        <v>3-4'</v>
      </c>
      <c r="G75" s="62">
        <f ca="1">IFERROR(__xludf.DUMMYFUNCTION("""COMPUTED_VALUE"""),6)</f>
        <v>6</v>
      </c>
      <c r="H75" s="63">
        <f ca="1">IFERROR(__xludf.DUMMYFUNCTION("""COMPUTED_VALUE"""),37)</f>
        <v>37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x 'Rutgan' Stellar Pink")</f>
        <v>Cornus x 'Rutgan' Stellar Pink</v>
      </c>
      <c r="B76" s="61">
        <f ca="1">IFERROR(__xludf.DUMMYFUNCTION("""COMPUTED_VALUE"""),10)</f>
        <v>10</v>
      </c>
      <c r="C76" s="61" t="str">
        <f ca="1">IFERROR(__xludf.DUMMYFUNCTION("""COMPUTED_VALUE"""),"Stellar Pink Dogwood")</f>
        <v>Stellar Pink Dogwood</v>
      </c>
      <c r="D76" s="61" t="str">
        <f ca="1">IFERROR(__xludf.DUMMYFUNCTION("""COMPUTED_VALUE"""),"#10")</f>
        <v>#10</v>
      </c>
      <c r="E76" s="61" t="str">
        <f ca="1">IFERROR(__xludf.DUMMYFUNCTION("""COMPUTED_VALUE"""),"1.25-1.5""")</f>
        <v>1.25-1.5"</v>
      </c>
      <c r="F76" s="61" t="str">
        <f ca="1">IFERROR(__xludf.DUMMYFUNCTION("""COMPUTED_VALUE"""),"9-11'")</f>
        <v>9-11'</v>
      </c>
      <c r="G76" s="62">
        <f ca="1">IFERROR(__xludf.DUMMYFUNCTION("""COMPUTED_VALUE"""),12)</f>
        <v>12</v>
      </c>
      <c r="H76" s="63">
        <f ca="1">IFERROR(__xludf.DUMMYFUNCTION("""COMPUTED_VALUE"""),100)</f>
        <v>100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x Rutcan 'Constellation'")</f>
        <v>Cornus x Rutcan 'Constellation'</v>
      </c>
      <c r="B77" s="61">
        <f ca="1">IFERROR(__xludf.DUMMYFUNCTION("""COMPUTED_VALUE"""),10)</f>
        <v>10</v>
      </c>
      <c r="C77" s="61" t="str">
        <f ca="1">IFERROR(__xludf.DUMMYFUNCTION("""COMPUTED_VALUE"""),"Constellation Dogwood")</f>
        <v>Constellation Dogwood</v>
      </c>
      <c r="D77" s="61" t="str">
        <f ca="1">IFERROR(__xludf.DUMMYFUNCTION("""COMPUTED_VALUE"""),"#10")</f>
        <v>#10</v>
      </c>
      <c r="E77" s="61" t="str">
        <f ca="1">IFERROR(__xludf.DUMMYFUNCTION("""COMPUTED_VALUE"""),"1-1.25""")</f>
        <v>1-1.25"</v>
      </c>
      <c r="F77" s="61" t="str">
        <f ca="1">IFERROR(__xludf.DUMMYFUNCTION("""COMPUTED_VALUE"""),"8-9.5'")</f>
        <v>8-9.5'</v>
      </c>
      <c r="G77" s="62">
        <f ca="1">IFERROR(__xludf.DUMMYFUNCTION("""COMPUTED_VALUE"""),31)</f>
        <v>31</v>
      </c>
      <c r="H77" s="63">
        <f ca="1">IFERROR(__xludf.DUMMYFUNCTION("""COMPUTED_VALUE"""),100)</f>
        <v>100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x Rutcan 'Constellation'")</f>
        <v>Cornus x Rutcan 'Constellation'</v>
      </c>
      <c r="B78" s="61">
        <f ca="1">IFERROR(__xludf.DUMMYFUNCTION("""COMPUTED_VALUE"""),15)</f>
        <v>15</v>
      </c>
      <c r="C78" s="61" t="str">
        <f ca="1">IFERROR(__xludf.DUMMYFUNCTION("""COMPUTED_VALUE"""),"Constellation Dogwood")</f>
        <v>Constellation Dogwood</v>
      </c>
      <c r="D78" s="61" t="str">
        <f ca="1">IFERROR(__xludf.DUMMYFUNCTION("""COMPUTED_VALUE"""),"#15")</f>
        <v>#15</v>
      </c>
      <c r="E78" s="61" t="str">
        <f ca="1">IFERROR(__xludf.DUMMYFUNCTION("""COMPUTED_VALUE"""),"1-1.25""")</f>
        <v>1-1.25"</v>
      </c>
      <c r="F78" s="61" t="str">
        <f ca="1">IFERROR(__xludf.DUMMYFUNCTION("""COMPUTED_VALUE"""),"6-10'")</f>
        <v>6-10'</v>
      </c>
      <c r="G78" s="62">
        <f ca="1">IFERROR(__xludf.DUMMYFUNCTION("""COMPUTED_VALUE"""),23)</f>
        <v>23</v>
      </c>
      <c r="H78" s="63">
        <f ca="1">IFERROR(__xludf.DUMMYFUNCTION("""COMPUTED_VALUE"""),135)</f>
        <v>135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IFERROR(__xludf.DUMMYFUNCTION("""COMPUTED_VALUE"""),"Cotinus coggygria 'Royal Purple'")</f>
        <v>Cotinus coggygria 'Royal Purple'</v>
      </c>
      <c r="B79" s="61">
        <f ca="1">IFERROR(__xludf.DUMMYFUNCTION("""COMPUTED_VALUE"""),5)</f>
        <v>5</v>
      </c>
      <c r="C79" s="61" t="str">
        <f ca="1">IFERROR(__xludf.DUMMYFUNCTION("""COMPUTED_VALUE"""),"Royal Purple Smokebush")</f>
        <v>Royal Purple Smokebush</v>
      </c>
      <c r="D79" s="61" t="str">
        <f ca="1">IFERROR(__xludf.DUMMYFUNCTION("""COMPUTED_VALUE"""),"#5")</f>
        <v>#5</v>
      </c>
      <c r="E79" s="61" t="str">
        <f ca="1">IFERROR(__xludf.DUMMYFUNCTION("""COMPUTED_VALUE"""),"Multi")</f>
        <v>Multi</v>
      </c>
      <c r="F79" s="61" t="str">
        <f ca="1">IFERROR(__xludf.DUMMYFUNCTION("""COMPUTED_VALUE"""),"7-9'")</f>
        <v>7-9'</v>
      </c>
      <c r="G79" s="62">
        <f ca="1">IFERROR(__xludf.DUMMYFUNCTION("""COMPUTED_VALUE"""),12)</f>
        <v>12</v>
      </c>
      <c r="H79" s="63">
        <f ca="1">IFERROR(__xludf.DUMMYFUNCTION("""COMPUTED_VALUE"""),50)</f>
        <v>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IFERROR(__xludf.DUMMYFUNCTION("""COMPUTED_VALUE"""),"Cotinus obovatus")</f>
        <v>Cotinus obovatus</v>
      </c>
      <c r="B80" s="61">
        <f ca="1">IFERROR(__xludf.DUMMYFUNCTION("""COMPUTED_VALUE"""),5)</f>
        <v>5</v>
      </c>
      <c r="C80" s="61" t="str">
        <f ca="1">IFERROR(__xludf.DUMMYFUNCTION("""COMPUTED_VALUE"""),"Smokebush (Native)")</f>
        <v>Smokebush (Native)</v>
      </c>
      <c r="D80" s="61" t="str">
        <f ca="1">IFERROR(__xludf.DUMMYFUNCTION("""COMPUTED_VALUE"""),"#5")</f>
        <v>#5</v>
      </c>
      <c r="E80" s="61" t="str">
        <f ca="1">IFERROR(__xludf.DUMMYFUNCTION("""COMPUTED_VALUE"""),"0.5-1""")</f>
        <v>0.5-1"</v>
      </c>
      <c r="F80" s="61" t="str">
        <f ca="1">IFERROR(__xludf.DUMMYFUNCTION("""COMPUTED_VALUE"""),"7-10'")</f>
        <v>7-10'</v>
      </c>
      <c r="G80" s="62">
        <f ca="1">IFERROR(__xludf.DUMMYFUNCTION("""COMPUTED_VALUE"""),63)</f>
        <v>63</v>
      </c>
      <c r="H80" s="63">
        <f ca="1">IFERROR(__xludf.DUMMYFUNCTION("""COMPUTED_VALUE"""),50)</f>
        <v>50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IFERROR(__xludf.DUMMYFUNCTION("""COMPUTED_VALUE"""),"Crataegus marshallii")</f>
        <v>Crataegus marshallii</v>
      </c>
      <c r="B81" s="61">
        <f ca="1">IFERROR(__xludf.DUMMYFUNCTION("""COMPUTED_VALUE"""),5)</f>
        <v>5</v>
      </c>
      <c r="C81" s="61" t="str">
        <f ca="1">IFERROR(__xludf.DUMMYFUNCTION("""COMPUTED_VALUE"""),"Parsley Hawthorn")</f>
        <v>Parsley Hawthorn</v>
      </c>
      <c r="D81" s="61" t="str">
        <f ca="1">IFERROR(__xludf.DUMMYFUNCTION("""COMPUTED_VALUE"""),"#5")</f>
        <v>#5</v>
      </c>
      <c r="E81" s="61" t="str">
        <f ca="1">IFERROR(__xludf.DUMMYFUNCTION("""COMPUTED_VALUE"""),"0.25-0.75""")</f>
        <v>0.25-0.75"</v>
      </c>
      <c r="F81" s="61" t="str">
        <f ca="1">IFERROR(__xludf.DUMMYFUNCTION("""COMPUTED_VALUE"""),"3-8'")</f>
        <v>3-8'</v>
      </c>
      <c r="G81" s="62">
        <f ca="1">IFERROR(__xludf.DUMMYFUNCTION("""COMPUTED_VALUE"""),34)</f>
        <v>34</v>
      </c>
      <c r="H81" s="63">
        <f ca="1">IFERROR(__xludf.DUMMYFUNCTION("""COMPUTED_VALUE"""),50)</f>
        <v>50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IFERROR(__xludf.DUMMYFUNCTION("""COMPUTED_VALUE"""),"Crataegus viridis 'Winter King'")</f>
        <v>Crataegus viridis 'Winter King'</v>
      </c>
      <c r="B82" s="61">
        <f ca="1">IFERROR(__xludf.DUMMYFUNCTION("""COMPUTED_VALUE"""),5)</f>
        <v>5</v>
      </c>
      <c r="C82" s="61" t="str">
        <f ca="1">IFERROR(__xludf.DUMMYFUNCTION("""COMPUTED_VALUE"""),"Winter King Hawthorn")</f>
        <v>Winter King Hawthorn</v>
      </c>
      <c r="D82" s="61" t="str">
        <f ca="1">IFERROR(__xludf.DUMMYFUNCTION("""COMPUTED_VALUE"""),"#5")</f>
        <v>#5</v>
      </c>
      <c r="E82" s="61" t="str">
        <f ca="1">IFERROR(__xludf.DUMMYFUNCTION("""COMPUTED_VALUE"""),"0.75-1""")</f>
        <v>0.75-1"</v>
      </c>
      <c r="F82" s="61" t="str">
        <f ca="1">IFERROR(__xludf.DUMMYFUNCTION("""COMPUTED_VALUE"""),"5-8'")</f>
        <v>5-8'</v>
      </c>
      <c r="G82" s="62">
        <f ca="1">IFERROR(__xludf.DUMMYFUNCTION("""COMPUTED_VALUE"""),29)</f>
        <v>29</v>
      </c>
      <c r="H82" s="63">
        <f ca="1">IFERROR(__xludf.DUMMYFUNCTION("""COMPUTED_VALUE"""),70)</f>
        <v>70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IFERROR(__xludf.DUMMYFUNCTION("""COMPUTED_VALUE"""),"Crataegus viridis 'Winter King'")</f>
        <v>Crataegus viridis 'Winter King'</v>
      </c>
      <c r="B83" s="61">
        <f ca="1">IFERROR(__xludf.DUMMYFUNCTION("""COMPUTED_VALUE"""),15)</f>
        <v>15</v>
      </c>
      <c r="C83" s="61" t="str">
        <f ca="1">IFERROR(__xludf.DUMMYFUNCTION("""COMPUTED_VALUE"""),"Winter King Hawthorn")</f>
        <v>Winter King Hawthorn</v>
      </c>
      <c r="D83" s="61" t="str">
        <f ca="1">IFERROR(__xludf.DUMMYFUNCTION("""COMPUTED_VALUE"""),"#15")</f>
        <v>#15</v>
      </c>
      <c r="E83" s="61" t="str">
        <f ca="1">IFERROR(__xludf.DUMMYFUNCTION("""COMPUTED_VALUE"""),"1.25-1.5""")</f>
        <v>1.25-1.5"</v>
      </c>
      <c r="F83" s="61" t="str">
        <f ca="1">IFERROR(__xludf.DUMMYFUNCTION("""COMPUTED_VALUE"""),"9-11'")</f>
        <v>9-11'</v>
      </c>
      <c r="G83" s="62">
        <f ca="1">IFERROR(__xludf.DUMMYFUNCTION("""COMPUTED_VALUE"""),35)</f>
        <v>35</v>
      </c>
      <c r="H83" s="63">
        <f ca="1">IFERROR(__xludf.DUMMYFUNCTION("""COMPUTED_VALUE"""),135)</f>
        <v>135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IFERROR(__xludf.DUMMYFUNCTION("""COMPUTED_VALUE"""),"Diospyros virginiana")</f>
        <v>Diospyros virginiana</v>
      </c>
      <c r="B84" s="61">
        <f ca="1">IFERROR(__xludf.DUMMYFUNCTION("""COMPUTED_VALUE"""),7)</f>
        <v>7</v>
      </c>
      <c r="C84" s="61" t="str">
        <f ca="1">IFERROR(__xludf.DUMMYFUNCTION("""COMPUTED_VALUE"""),"American Persimmon")</f>
        <v>American Persimmon</v>
      </c>
      <c r="D84" s="61" t="str">
        <f ca="1">IFERROR(__xludf.DUMMYFUNCTION("""COMPUTED_VALUE"""),"#7")</f>
        <v>#7</v>
      </c>
      <c r="E84" s="61" t="str">
        <f ca="1">IFERROR(__xludf.DUMMYFUNCTION("""COMPUTED_VALUE"""),"0.75-1""")</f>
        <v>0.75-1"</v>
      </c>
      <c r="F84" s="61" t="str">
        <f ca="1">IFERROR(__xludf.DUMMYFUNCTION("""COMPUTED_VALUE"""),"6-7'")</f>
        <v>6-7'</v>
      </c>
      <c r="G84" s="62">
        <f ca="1">IFERROR(__xludf.DUMMYFUNCTION("""COMPUTED_VALUE"""),1)</f>
        <v>1</v>
      </c>
      <c r="H84" s="63">
        <f ca="1">IFERROR(__xludf.DUMMYFUNCTION("""COMPUTED_VALUE"""),50)</f>
        <v>50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IFERROR(__xludf.DUMMYFUNCTION("""COMPUTED_VALUE"""),"Euonymus americanus")</f>
        <v>Euonymus americanus</v>
      </c>
      <c r="B85" s="61">
        <f ca="1">IFERROR(__xludf.DUMMYFUNCTION("""COMPUTED_VALUE"""),5)</f>
        <v>5</v>
      </c>
      <c r="C85" s="61" t="str">
        <f ca="1">IFERROR(__xludf.DUMMYFUNCTION("""COMPUTED_VALUE"""),"Strawberry Bush")</f>
        <v>Strawberry Bush</v>
      </c>
      <c r="D85" s="61" t="str">
        <f ca="1">IFERROR(__xludf.DUMMYFUNCTION("""COMPUTED_VALUE"""),"#5")</f>
        <v>#5</v>
      </c>
      <c r="E85" s="61" t="str">
        <f ca="1">IFERROR(__xludf.DUMMYFUNCTION("""COMPUTED_VALUE"""),"Multi")</f>
        <v>Multi</v>
      </c>
      <c r="F85" s="61" t="str">
        <f ca="1">IFERROR(__xludf.DUMMYFUNCTION("""COMPUTED_VALUE"""),"1-5'")</f>
        <v>1-5'</v>
      </c>
      <c r="G85" s="62">
        <f ca="1">IFERROR(__xludf.DUMMYFUNCTION("""COMPUTED_VALUE"""),29)</f>
        <v>29</v>
      </c>
      <c r="H85" s="63">
        <f ca="1">IFERROR(__xludf.DUMMYFUNCTION("""COMPUTED_VALUE"""),50)</f>
        <v>50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IFERROR(__xludf.DUMMYFUNCTION("""COMPUTED_VALUE"""),"Fagus grandiflora")</f>
        <v>Fagus grandiflora</v>
      </c>
      <c r="B86" s="61">
        <f ca="1">IFERROR(__xludf.DUMMYFUNCTION("""COMPUTED_VALUE"""),5)</f>
        <v>5</v>
      </c>
      <c r="C86" s="61" t="str">
        <f ca="1">IFERROR(__xludf.DUMMYFUNCTION("""COMPUTED_VALUE"""),"American Beech")</f>
        <v>American Beech</v>
      </c>
      <c r="D86" s="61" t="str">
        <f ca="1">IFERROR(__xludf.DUMMYFUNCTION("""COMPUTED_VALUE"""),"#5")</f>
        <v>#5</v>
      </c>
      <c r="E86" s="61" t="str">
        <f ca="1">IFERROR(__xludf.DUMMYFUNCTION("""COMPUTED_VALUE"""),"0.5-1""")</f>
        <v>0.5-1"</v>
      </c>
      <c r="F86" s="61" t="str">
        <f ca="1">IFERROR(__xludf.DUMMYFUNCTION("""COMPUTED_VALUE"""),"4-6'")</f>
        <v>4-6'</v>
      </c>
      <c r="G86" s="62">
        <f ca="1">IFERROR(__xludf.DUMMYFUNCTION("""COMPUTED_VALUE"""),53)</f>
        <v>53</v>
      </c>
      <c r="H86" s="63">
        <f ca="1">IFERROR(__xludf.DUMMYFUNCTION("""COMPUTED_VALUE"""),70)</f>
        <v>70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IFERROR(__xludf.DUMMYFUNCTION("""COMPUTED_VALUE"""),"Fothergilla x 'Mt. Airy'")</f>
        <v>Fothergilla x 'Mt. Airy'</v>
      </c>
      <c r="B87" s="61">
        <f ca="1">IFERROR(__xludf.DUMMYFUNCTION("""COMPUTED_VALUE"""),5)</f>
        <v>5</v>
      </c>
      <c r="C87" s="61" t="str">
        <f ca="1">IFERROR(__xludf.DUMMYFUNCTION("""COMPUTED_VALUE"""),"Mt. Airy Fothergilla")</f>
        <v>Mt. Airy Fothergilla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IFERROR(__xludf.DUMMYFUNCTION("""COMPUTED_VALUE"""),"1-2'")</f>
        <v>1-2'</v>
      </c>
      <c r="G87" s="62">
        <f ca="1">IFERROR(__xludf.DUMMYFUNCTION("""COMPUTED_VALUE"""),4)</f>
        <v>4</v>
      </c>
      <c r="H87" s="63">
        <f ca="1">IFERROR(__xludf.DUMMYFUNCTION("""COMPUTED_VALUE"""),37)</f>
        <v>37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IFERROR(__xludf.DUMMYFUNCTION("""COMPUTED_VALUE"""),"Ginkgo biloba 'Autumn Gold'")</f>
        <v>Ginkgo biloba 'Autumn Gold'</v>
      </c>
      <c r="B88" s="61">
        <f ca="1">IFERROR(__xludf.DUMMYFUNCTION("""COMPUTED_VALUE"""),5)</f>
        <v>5</v>
      </c>
      <c r="C88" s="61" t="str">
        <f ca="1">IFERROR(__xludf.DUMMYFUNCTION("""COMPUTED_VALUE"""),"Autumn Gold Ginkgo")</f>
        <v>Autumn Gold Ginkgo</v>
      </c>
      <c r="D88" s="61" t="str">
        <f ca="1">IFERROR(__xludf.DUMMYFUNCTION("""COMPUTED_VALUE"""),"#5")</f>
        <v>#5</v>
      </c>
      <c r="E88" s="61" t="str">
        <f ca="1">IFERROR(__xludf.DUMMYFUNCTION("""COMPUTED_VALUE"""),"0.75-1""")</f>
        <v>0.75-1"</v>
      </c>
      <c r="F88" s="61" t="str">
        <f ca="1">IFERROR(__xludf.DUMMYFUNCTION("""COMPUTED_VALUE"""),"5-6.5'")</f>
        <v>5-6.5'</v>
      </c>
      <c r="G88" s="62">
        <f ca="1">IFERROR(__xludf.DUMMYFUNCTION("""COMPUTED_VALUE"""),1)</f>
        <v>1</v>
      </c>
      <c r="H88" s="63">
        <f ca="1">IFERROR(__xludf.DUMMYFUNCTION("""COMPUTED_VALUE"""),70)</f>
        <v>70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IFERROR(__xludf.DUMMYFUNCTION("""COMPUTED_VALUE"""),"Ginkgo biloba 'Autumn Gold'")</f>
        <v>Ginkgo biloba 'Autumn Gold'</v>
      </c>
      <c r="B89" s="61">
        <f ca="1">IFERROR(__xludf.DUMMYFUNCTION("""COMPUTED_VALUE"""),7)</f>
        <v>7</v>
      </c>
      <c r="C89" s="61" t="str">
        <f ca="1">IFERROR(__xludf.DUMMYFUNCTION("""COMPUTED_VALUE"""),"Autumn Gold Ginkgo")</f>
        <v>Autumn Gold Ginkgo</v>
      </c>
      <c r="D89" s="61" t="str">
        <f ca="1">IFERROR(__xludf.DUMMYFUNCTION("""COMPUTED_VALUE"""),"#7")</f>
        <v>#7</v>
      </c>
      <c r="E89" s="61" t="str">
        <f ca="1">IFERROR(__xludf.DUMMYFUNCTION("""COMPUTED_VALUE"""),"0.75-1""")</f>
        <v>0.75-1"</v>
      </c>
      <c r="F89" s="61" t="str">
        <f ca="1">IFERROR(__xludf.DUMMYFUNCTION("""COMPUTED_VALUE"""),"4-7'")</f>
        <v>4-7'</v>
      </c>
      <c r="G89" s="62">
        <f ca="1">IFERROR(__xludf.DUMMYFUNCTION("""COMPUTED_VALUE"""),15)</f>
        <v>15</v>
      </c>
      <c r="H89" s="63">
        <f ca="1">IFERROR(__xludf.DUMMYFUNCTION("""COMPUTED_VALUE"""),70)</f>
        <v>70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IFERROR(__xludf.DUMMYFUNCTION("""COMPUTED_VALUE"""),"Ginkgo biloba 'Magyar'")</f>
        <v>Ginkgo biloba 'Magyar'</v>
      </c>
      <c r="B90" s="61">
        <f ca="1">IFERROR(__xludf.DUMMYFUNCTION("""COMPUTED_VALUE"""),5)</f>
        <v>5</v>
      </c>
      <c r="C90" s="61" t="str">
        <f ca="1">IFERROR(__xludf.DUMMYFUNCTION("""COMPUTED_VALUE"""),"Magyar Ginkgo")</f>
        <v>Magyar Ginkgo</v>
      </c>
      <c r="D90" s="61" t="str">
        <f ca="1">IFERROR(__xludf.DUMMYFUNCTION("""COMPUTED_VALUE"""),"#5")</f>
        <v>#5</v>
      </c>
      <c r="E90" s="61" t="str">
        <f ca="1">IFERROR(__xludf.DUMMYFUNCTION("""COMPUTED_VALUE"""),"0.75-1""")</f>
        <v>0.75-1"</v>
      </c>
      <c r="F90" s="61" t="str">
        <f ca="1">IFERROR(__xludf.DUMMYFUNCTION("""COMPUTED_VALUE"""),"4-7'")</f>
        <v>4-7'</v>
      </c>
      <c r="G90" s="62">
        <f ca="1">IFERROR(__xludf.DUMMYFUNCTION("""COMPUTED_VALUE"""),4)</f>
        <v>4</v>
      </c>
      <c r="H90" s="63">
        <f ca="1">IFERROR(__xludf.DUMMYFUNCTION("""COMPUTED_VALUE"""),70)</f>
        <v>70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IFERROR(__xludf.DUMMYFUNCTION("""COMPUTED_VALUE"""),"Ginkgo biloba 'Magyar'")</f>
        <v>Ginkgo biloba 'Magyar'</v>
      </c>
      <c r="B91" s="61">
        <f ca="1">IFERROR(__xludf.DUMMYFUNCTION("""COMPUTED_VALUE"""),7)</f>
        <v>7</v>
      </c>
      <c r="C91" s="61" t="str">
        <f ca="1">IFERROR(__xludf.DUMMYFUNCTION("""COMPUTED_VALUE"""),"Magyar Ginkgo")</f>
        <v>Magyar Ginkgo</v>
      </c>
      <c r="D91" s="61" t="str">
        <f ca="1">IFERROR(__xludf.DUMMYFUNCTION("""COMPUTED_VALUE"""),"#7")</f>
        <v>#7</v>
      </c>
      <c r="E91" s="61" t="str">
        <f ca="1">IFERROR(__xludf.DUMMYFUNCTION("""COMPUTED_VALUE"""),"1-1.25""")</f>
        <v>1-1.25"</v>
      </c>
      <c r="F91" s="61" t="str">
        <f ca="1">IFERROR(__xludf.DUMMYFUNCTION("""COMPUTED_VALUE"""),"6.5-7.5'")</f>
        <v>6.5-7.5'</v>
      </c>
      <c r="G91" s="62">
        <f ca="1">IFERROR(__xludf.DUMMYFUNCTION("""COMPUTED_VALUE"""),3)</f>
        <v>3</v>
      </c>
      <c r="H91" s="63">
        <f ca="1">IFERROR(__xludf.DUMMYFUNCTION("""COMPUTED_VALUE"""),70)</f>
        <v>70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IFERROR(__xludf.DUMMYFUNCTION("""COMPUTED_VALUE"""),"Ginkgo biloba 'Magyar'")</f>
        <v>Ginkgo biloba 'Magyar'</v>
      </c>
      <c r="B92" s="61">
        <f ca="1">IFERROR(__xludf.DUMMYFUNCTION("""COMPUTED_VALUE"""),15)</f>
        <v>15</v>
      </c>
      <c r="C92" s="61" t="str">
        <f ca="1">IFERROR(__xludf.DUMMYFUNCTION("""COMPUTED_VALUE"""),"Magyar Ginkgo")</f>
        <v>Magyar Ginkgo</v>
      </c>
      <c r="D92" s="61" t="str">
        <f ca="1">IFERROR(__xludf.DUMMYFUNCTION("""COMPUTED_VALUE"""),"#15")</f>
        <v>#15</v>
      </c>
      <c r="E92" s="61" t="str">
        <f ca="1">IFERROR(__xludf.DUMMYFUNCTION("""COMPUTED_VALUE"""),"1-1.25""")</f>
        <v>1-1.25"</v>
      </c>
      <c r="F92" s="61" t="str">
        <f ca="1">IFERROR(__xludf.DUMMYFUNCTION("""COMPUTED_VALUE"""),"9-9.5'")</f>
        <v>9-9.5'</v>
      </c>
      <c r="G92" s="62">
        <f ca="1">IFERROR(__xludf.DUMMYFUNCTION("""COMPUTED_VALUE"""),3)</f>
        <v>3</v>
      </c>
      <c r="H92" s="63">
        <f ca="1">IFERROR(__xludf.DUMMYFUNCTION("""COMPUTED_VALUE"""),135)</f>
        <v>135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IFERROR(__xludf.DUMMYFUNCTION("""COMPUTED_VALUE"""),"Ginkgo biloba 'Princeton Sentry'")</f>
        <v>Ginkgo biloba 'Princeton Sentry'</v>
      </c>
      <c r="B93" s="61">
        <f ca="1">IFERROR(__xludf.DUMMYFUNCTION("""COMPUTED_VALUE"""),5)</f>
        <v>5</v>
      </c>
      <c r="C93" s="61" t="str">
        <f ca="1">IFERROR(__xludf.DUMMYFUNCTION("""COMPUTED_VALUE"""),"Princeton Sentry Ginkgo ")</f>
        <v xml:space="preserve">Princeton Sentry Ginkgo </v>
      </c>
      <c r="D93" s="61" t="str">
        <f ca="1">IFERROR(__xludf.DUMMYFUNCTION("""COMPUTED_VALUE"""),"#5")</f>
        <v>#5</v>
      </c>
      <c r="E93" s="61" t="str">
        <f ca="1">IFERROR(__xludf.DUMMYFUNCTION("""COMPUTED_VALUE"""),"0.5-0.75""")</f>
        <v>0.5-0.75"</v>
      </c>
      <c r="F93" s="61" t="str">
        <f ca="1">IFERROR(__xludf.DUMMYFUNCTION("""COMPUTED_VALUE"""),"3-5'")</f>
        <v>3-5'</v>
      </c>
      <c r="G93" s="62">
        <f ca="1">IFERROR(__xludf.DUMMYFUNCTION("""COMPUTED_VALUE"""),3)</f>
        <v>3</v>
      </c>
      <c r="H93" s="63">
        <f ca="1">IFERROR(__xludf.DUMMYFUNCTION("""COMPUTED_VALUE"""),70)</f>
        <v>70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IFERROR(__xludf.DUMMYFUNCTION("""COMPUTED_VALUE"""),"Ginkgo biloba 'Princeton Sentry'")</f>
        <v>Ginkgo biloba 'Princeton Sentry'</v>
      </c>
      <c r="B94" s="61">
        <f ca="1">IFERROR(__xludf.DUMMYFUNCTION("""COMPUTED_VALUE"""),7)</f>
        <v>7</v>
      </c>
      <c r="C94" s="61" t="str">
        <f ca="1">IFERROR(__xludf.DUMMYFUNCTION("""COMPUTED_VALUE"""),"Princeton Sentry Ginkgo")</f>
        <v>Princeton Sentry Ginkgo</v>
      </c>
      <c r="D94" s="61" t="str">
        <f ca="1">IFERROR(__xludf.DUMMYFUNCTION("""COMPUTED_VALUE"""),"#7")</f>
        <v>#7</v>
      </c>
      <c r="E94" s="61" t="str">
        <f ca="1">IFERROR(__xludf.DUMMYFUNCTION("""COMPUTED_VALUE"""),"0.5-0.75""")</f>
        <v>0.5-0.75"</v>
      </c>
      <c r="F94" s="61" t="str">
        <f ca="1">IFERROR(__xludf.DUMMYFUNCTION("""COMPUTED_VALUE"""),"3-4'")</f>
        <v>3-4'</v>
      </c>
      <c r="G94" s="62">
        <f ca="1">IFERROR(__xludf.DUMMYFUNCTION("""COMPUTED_VALUE"""),6)</f>
        <v>6</v>
      </c>
      <c r="H94" s="63">
        <f ca="1">IFERROR(__xludf.DUMMYFUNCTION("""COMPUTED_VALUE"""),70)</f>
        <v>70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IFERROR(__xludf.DUMMYFUNCTION("""COMPUTED_VALUE"""),"Ginkgo biloba 'Princeton Sentry'")</f>
        <v>Ginkgo biloba 'Princeton Sentry'</v>
      </c>
      <c r="B95" s="61">
        <f ca="1">IFERROR(__xludf.DUMMYFUNCTION("""COMPUTED_VALUE"""),10)</f>
        <v>10</v>
      </c>
      <c r="C95" s="61" t="str">
        <f ca="1">IFERROR(__xludf.DUMMYFUNCTION("""COMPUTED_VALUE"""),"Princeton Sentry Ginkgo")</f>
        <v>Princeton Sentry Ginkgo</v>
      </c>
      <c r="D95" s="61" t="str">
        <f ca="1">IFERROR(__xludf.DUMMYFUNCTION("""COMPUTED_VALUE"""),"#10")</f>
        <v>#10</v>
      </c>
      <c r="E95" s="61" t="str">
        <f ca="1">IFERROR(__xludf.DUMMYFUNCTION("""COMPUTED_VALUE"""),"0.75-1""")</f>
        <v>0.75-1"</v>
      </c>
      <c r="F95" s="61" t="str">
        <f ca="1">IFERROR(__xludf.DUMMYFUNCTION("""COMPUTED_VALUE"""),"5-7'")</f>
        <v>5-7'</v>
      </c>
      <c r="G95" s="62">
        <f ca="1">IFERROR(__xludf.DUMMYFUNCTION("""COMPUTED_VALUE"""),3)</f>
        <v>3</v>
      </c>
      <c r="H95" s="63">
        <f ca="1">IFERROR(__xludf.DUMMYFUNCTION("""COMPUTED_VALUE"""),100)</f>
        <v>100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IFERROR(__xludf.DUMMYFUNCTION("""COMPUTED_VALUE"""),"Ginkgo biloba 'Princeton Sentry'")</f>
        <v>Ginkgo biloba 'Princeton Sentry'</v>
      </c>
      <c r="B96" s="61">
        <f ca="1">IFERROR(__xludf.DUMMYFUNCTION("""COMPUTED_VALUE"""),15)</f>
        <v>15</v>
      </c>
      <c r="C96" s="61" t="str">
        <f ca="1">IFERROR(__xludf.DUMMYFUNCTION("""COMPUTED_VALUE"""),"Princeton Sentry Ginkgo ")</f>
        <v xml:space="preserve">Princeton Sentry Ginkgo </v>
      </c>
      <c r="D96" s="61" t="str">
        <f ca="1">IFERROR(__xludf.DUMMYFUNCTION("""COMPUTED_VALUE"""),"#15")</f>
        <v>#15</v>
      </c>
      <c r="E96" s="61" t="str">
        <f ca="1">IFERROR(__xludf.DUMMYFUNCTION("""COMPUTED_VALUE"""),"1-1.25""")</f>
        <v>1-1.25"</v>
      </c>
      <c r="F96" s="61" t="str">
        <f ca="1">IFERROR(__xludf.DUMMYFUNCTION("""COMPUTED_VALUE"""),"8-9'")</f>
        <v>8-9'</v>
      </c>
      <c r="G96" s="62">
        <f ca="1">IFERROR(__xludf.DUMMYFUNCTION("""COMPUTED_VALUE"""),7)</f>
        <v>7</v>
      </c>
      <c r="H96" s="63">
        <f ca="1">IFERROR(__xludf.DUMMYFUNCTION("""COMPUTED_VALUE"""),135)</f>
        <v>135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IFERROR(__xludf.DUMMYFUNCTION("""COMPUTED_VALUE"""),"Ginkgo biloba 'Windover Gold'")</f>
        <v>Ginkgo biloba 'Windover Gold'</v>
      </c>
      <c r="B97" s="61">
        <f ca="1">IFERROR(__xludf.DUMMYFUNCTION("""COMPUTED_VALUE"""),15)</f>
        <v>15</v>
      </c>
      <c r="C97" s="61" t="str">
        <f ca="1">IFERROR(__xludf.DUMMYFUNCTION("""COMPUTED_VALUE"""),"Windover Gold Ginkgo")</f>
        <v>Windover Gold Ginkgo</v>
      </c>
      <c r="D97" s="61" t="str">
        <f ca="1">IFERROR(__xludf.DUMMYFUNCTION("""COMPUTED_VALUE"""),"#15")</f>
        <v>#15</v>
      </c>
      <c r="E97" s="61" t="str">
        <f ca="1">IFERROR(__xludf.DUMMYFUNCTION("""COMPUTED_VALUE"""),"1-1.25""")</f>
        <v>1-1.25"</v>
      </c>
      <c r="F97" s="61" t="str">
        <f ca="1">IFERROR(__xludf.DUMMYFUNCTION("""COMPUTED_VALUE"""),"6-9'")</f>
        <v>6-9'</v>
      </c>
      <c r="G97" s="62">
        <f ca="1">IFERROR(__xludf.DUMMYFUNCTION("""COMPUTED_VALUE"""),4)</f>
        <v>4</v>
      </c>
      <c r="H97" s="63">
        <f ca="1">IFERROR(__xludf.DUMMYFUNCTION("""COMPUTED_VALUE"""),135)</f>
        <v>135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IFERROR(__xludf.DUMMYFUNCTION("""COMPUTED_VALUE"""),"Gleditsia triacanthos 'Skyline'")</f>
        <v>Gleditsia triacanthos 'Skyline'</v>
      </c>
      <c r="B98" s="61">
        <f ca="1">IFERROR(__xludf.DUMMYFUNCTION("""COMPUTED_VALUE"""),10)</f>
        <v>10</v>
      </c>
      <c r="C98" s="61" t="str">
        <f ca="1">IFERROR(__xludf.DUMMYFUNCTION("""COMPUTED_VALUE"""),"Skyline Honeylocust")</f>
        <v>Skyline Honeylocust</v>
      </c>
      <c r="D98" s="61" t="str">
        <f ca="1">IFERROR(__xludf.DUMMYFUNCTION("""COMPUTED_VALUE"""),"#10")</f>
        <v>#10</v>
      </c>
      <c r="E98" s="61" t="str">
        <f ca="1">IFERROR(__xludf.DUMMYFUNCTION("""COMPUTED_VALUE"""),"1.25-1.25""")</f>
        <v>1.25-1.25"</v>
      </c>
      <c r="F98" s="61" t="str">
        <f ca="1">IFERROR(__xludf.DUMMYFUNCTION("""COMPUTED_VALUE"""),"10-10'")</f>
        <v>10-10'</v>
      </c>
      <c r="G98" s="62">
        <f ca="1">IFERROR(__xludf.DUMMYFUNCTION("""COMPUTED_VALUE"""),1)</f>
        <v>1</v>
      </c>
      <c r="H98" s="63">
        <f ca="1">IFERROR(__xludf.DUMMYFUNCTION("""COMPUTED_VALUE"""),100)</f>
        <v>100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IFERROR(__xludf.DUMMYFUNCTION("""COMPUTED_VALUE"""),"Gleditsia triacanthos 'Skyline'")</f>
        <v>Gleditsia triacanthos 'Skyline'</v>
      </c>
      <c r="B99" s="61">
        <f ca="1">IFERROR(__xludf.DUMMYFUNCTION("""COMPUTED_VALUE"""),15)</f>
        <v>15</v>
      </c>
      <c r="C99" s="61" t="str">
        <f ca="1">IFERROR(__xludf.DUMMYFUNCTION("""COMPUTED_VALUE"""),"Skyline Honeylocust")</f>
        <v>Skyline Honeylocust</v>
      </c>
      <c r="D99" s="61" t="str">
        <f ca="1">IFERROR(__xludf.DUMMYFUNCTION("""COMPUTED_VALUE"""),"#15")</f>
        <v>#15</v>
      </c>
      <c r="E99" s="61" t="str">
        <f ca="1">IFERROR(__xludf.DUMMYFUNCTION("""COMPUTED_VALUE"""),"1-1.5""")</f>
        <v>1-1.5"</v>
      </c>
      <c r="F99" s="61" t="str">
        <f ca="1">IFERROR(__xludf.DUMMYFUNCTION("""COMPUTED_VALUE"""),"10-14'")</f>
        <v>10-14'</v>
      </c>
      <c r="G99" s="62">
        <f ca="1">IFERROR(__xludf.DUMMYFUNCTION("""COMPUTED_VALUE"""),25)</f>
        <v>25</v>
      </c>
      <c r="H99" s="63">
        <f ca="1">IFERROR(__xludf.DUMMYFUNCTION("""COMPUTED_VALUE"""),135)</f>
        <v>135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IFERROR(__xludf.DUMMYFUNCTION("""COMPUTED_VALUE"""),"Gymnocladus dioicus")</f>
        <v>Gymnocladus dioicus</v>
      </c>
      <c r="B100" s="61">
        <f ca="1">IFERROR(__xludf.DUMMYFUNCTION("""COMPUTED_VALUE"""),5)</f>
        <v>5</v>
      </c>
      <c r="C100" s="61" t="str">
        <f ca="1">IFERROR(__xludf.DUMMYFUNCTION("""COMPUTED_VALUE"""),"Kentucky Coffeetree")</f>
        <v>Kentucky Coffeetree</v>
      </c>
      <c r="D100" s="61" t="str">
        <f ca="1">IFERROR(__xludf.DUMMYFUNCTION("""COMPUTED_VALUE"""),"#5")</f>
        <v>#5</v>
      </c>
      <c r="E100" s="61" t="str">
        <f ca="1">IFERROR(__xludf.DUMMYFUNCTION("""COMPUTED_VALUE"""),"0.5-1.25""")</f>
        <v>0.5-1.25"</v>
      </c>
      <c r="F100" s="61" t="str">
        <f ca="1">IFERROR(__xludf.DUMMYFUNCTION("""COMPUTED_VALUE"""),"4-7'")</f>
        <v>4-7'</v>
      </c>
      <c r="G100" s="62">
        <f ca="1">IFERROR(__xludf.DUMMYFUNCTION("""COMPUTED_VALUE"""),111)</f>
        <v>111</v>
      </c>
      <c r="H100" s="63">
        <f ca="1">IFERROR(__xludf.DUMMYFUNCTION("""COMPUTED_VALUE"""),40)</f>
        <v>40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IFERROR(__xludf.DUMMYFUNCTION("""COMPUTED_VALUE"""),"Gymnocladus dioicus")</f>
        <v>Gymnocladus dioicus</v>
      </c>
      <c r="B101" s="61">
        <f ca="1">IFERROR(__xludf.DUMMYFUNCTION("""COMPUTED_VALUE"""),15)</f>
        <v>15</v>
      </c>
      <c r="C101" s="61" t="str">
        <f ca="1">IFERROR(__xludf.DUMMYFUNCTION("""COMPUTED_VALUE"""),"Kentucky Coffeetree")</f>
        <v>Kentucky Coffeetree</v>
      </c>
      <c r="D101" s="61" t="str">
        <f ca="1">IFERROR(__xludf.DUMMYFUNCTION("""COMPUTED_VALUE"""),"#15")</f>
        <v>#15</v>
      </c>
      <c r="E101" s="61" t="str">
        <f ca="1">IFERROR(__xludf.DUMMYFUNCTION("""COMPUTED_VALUE"""),"1-1.5""")</f>
        <v>1-1.5"</v>
      </c>
      <c r="F101" s="61" t="str">
        <f ca="1">IFERROR(__xludf.DUMMYFUNCTION("""COMPUTED_VALUE"""),"9-12'")</f>
        <v>9-12'</v>
      </c>
      <c r="G101" s="62">
        <f ca="1">IFERROR(__xludf.DUMMYFUNCTION("""COMPUTED_VALUE"""),27)</f>
        <v>27</v>
      </c>
      <c r="H101" s="63">
        <f ca="1">IFERROR(__xludf.DUMMYFUNCTION("""COMPUTED_VALUE"""),135)</f>
        <v>135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IFERROR(__xludf.DUMMYFUNCTION("""COMPUTED_VALUE"""),"Gymnocladus dioicus")</f>
        <v>Gymnocladus dioicus</v>
      </c>
      <c r="B102" s="61">
        <f ca="1">IFERROR(__xludf.DUMMYFUNCTION("""COMPUTED_VALUE"""),25)</f>
        <v>25</v>
      </c>
      <c r="C102" s="61" t="str">
        <f ca="1">IFERROR(__xludf.DUMMYFUNCTION("""COMPUTED_VALUE"""),"Kentucky Coffeetree")</f>
        <v>Kentucky Coffeetree</v>
      </c>
      <c r="D102" s="61" t="str">
        <f ca="1">IFERROR(__xludf.DUMMYFUNCTION("""COMPUTED_VALUE"""),"#25")</f>
        <v>#25</v>
      </c>
      <c r="E102" s="61" t="str">
        <f ca="1">IFERROR(__xludf.DUMMYFUNCTION("""COMPUTED_VALUE"""),"1.5-1.5""")</f>
        <v>1.5-1.5"</v>
      </c>
      <c r="F102" s="61" t="str">
        <f ca="1">IFERROR(__xludf.DUMMYFUNCTION("""COMPUTED_VALUE"""),"11-11'")</f>
        <v>11-11'</v>
      </c>
      <c r="G102" s="62">
        <f ca="1">IFERROR(__xludf.DUMMYFUNCTION("""COMPUTED_VALUE"""),1)</f>
        <v>1</v>
      </c>
      <c r="H102" s="63">
        <f ca="1">IFERROR(__xludf.DUMMYFUNCTION("""COMPUTED_VALUE"""),150)</f>
        <v>150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IFERROR(__xludf.DUMMYFUNCTION("""COMPUTED_VALUE"""),"Gymnocladus dioicus ")</f>
        <v xml:space="preserve">Gymnocladus dioicus </v>
      </c>
      <c r="B103" s="61">
        <f ca="1">IFERROR(__xludf.DUMMYFUNCTION("""COMPUTED_VALUE"""),15)</f>
        <v>15</v>
      </c>
      <c r="C103" s="61" t="str">
        <f ca="1">IFERROR(__xludf.DUMMYFUNCTION("""COMPUTED_VALUE"""),"Kentucky Coffeetree (Cultivar) ")</f>
        <v xml:space="preserve">Kentucky Coffeetree (Cultivar) </v>
      </c>
      <c r="D103" s="61" t="str">
        <f ca="1">IFERROR(__xludf.DUMMYFUNCTION("""COMPUTED_VALUE"""),"#15")</f>
        <v>#15</v>
      </c>
      <c r="E103" s="61" t="str">
        <f ca="1">IFERROR(__xludf.DUMMYFUNCTION("""COMPUTED_VALUE"""),"1.25-1.25""")</f>
        <v>1.25-1.25"</v>
      </c>
      <c r="F103" s="61" t="str">
        <f ca="1">IFERROR(__xludf.DUMMYFUNCTION("""COMPUTED_VALUE"""),"11-14'")</f>
        <v>11-14'</v>
      </c>
      <c r="G103" s="62">
        <f ca="1">IFERROR(__xludf.DUMMYFUNCTION("""COMPUTED_VALUE"""),3)</f>
        <v>3</v>
      </c>
      <c r="H103" s="63">
        <f ca="1">IFERROR(__xludf.DUMMYFUNCTION("""COMPUTED_VALUE"""),135)</f>
        <v>135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IFERROR(__xludf.DUMMYFUNCTION("""COMPUTED_VALUE"""),"Gymnocladus dioicus ")</f>
        <v xml:space="preserve">Gymnocladus dioicus </v>
      </c>
      <c r="B104" s="61">
        <f ca="1">IFERROR(__xludf.DUMMYFUNCTION("""COMPUTED_VALUE"""),25)</f>
        <v>25</v>
      </c>
      <c r="C104" s="61" t="str">
        <f ca="1">IFERROR(__xludf.DUMMYFUNCTION("""COMPUTED_VALUE"""),"Kentucky Coffeetree (Cultivar) ")</f>
        <v xml:space="preserve">Kentucky Coffeetree (Cultivar) </v>
      </c>
      <c r="D104" s="61" t="str">
        <f ca="1">IFERROR(__xludf.DUMMYFUNCTION("""COMPUTED_VALUE"""),"#25")</f>
        <v>#25</v>
      </c>
      <c r="E104" s="61" t="str">
        <f ca="1">IFERROR(__xludf.DUMMYFUNCTION("""COMPUTED_VALUE"""),"1.25-1.5""")</f>
        <v>1.25-1.5"</v>
      </c>
      <c r="F104" s="61" t="str">
        <f ca="1">IFERROR(__xludf.DUMMYFUNCTION("""COMPUTED_VALUE"""),"11-14'")</f>
        <v>11-14'</v>
      </c>
      <c r="G104" s="62">
        <f ca="1">IFERROR(__xludf.DUMMYFUNCTION("""COMPUTED_VALUE"""),4)</f>
        <v>4</v>
      </c>
      <c r="H104" s="63">
        <f ca="1">IFERROR(__xludf.DUMMYFUNCTION("""COMPUTED_VALUE"""),150)</f>
        <v>150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IFERROR(__xludf.DUMMYFUNCTION("""COMPUTED_VALUE"""),"Hamamelis virginiana")</f>
        <v>Hamamelis virginiana</v>
      </c>
      <c r="B105" s="61">
        <f ca="1">IFERROR(__xludf.DUMMYFUNCTION("""COMPUTED_VALUE"""),5)</f>
        <v>5</v>
      </c>
      <c r="C105" s="61" t="str">
        <f ca="1">IFERROR(__xludf.DUMMYFUNCTION("""COMPUTED_VALUE"""),"Witch Hazel")</f>
        <v>Witch Hazel</v>
      </c>
      <c r="D105" s="61" t="str">
        <f ca="1">IFERROR(__xludf.DUMMYFUNCTION("""COMPUTED_VALUE"""),"#5")</f>
        <v>#5</v>
      </c>
      <c r="E105" s="61" t="str">
        <f ca="1">IFERROR(__xludf.DUMMYFUNCTION("""COMPUTED_VALUE"""),"0.25-0.25""")</f>
        <v>0.25-0.25"</v>
      </c>
      <c r="F105" s="61" t="str">
        <f ca="1">IFERROR(__xludf.DUMMYFUNCTION("""COMPUTED_VALUE"""),"2-4'")</f>
        <v>2-4'</v>
      </c>
      <c r="G105" s="62">
        <f ca="1">IFERROR(__xludf.DUMMYFUNCTION("""COMPUTED_VALUE"""),56)</f>
        <v>56</v>
      </c>
      <c r="H105" s="63">
        <f ca="1">IFERROR(__xludf.DUMMYFUNCTION("""COMPUTED_VALUE"""),50)</f>
        <v>50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IFERROR(__xludf.DUMMYFUNCTION("""COMPUTED_VALUE"""),"Hydrangea que. 'Ruby slippers'")</f>
        <v>Hydrangea que. 'Ruby slippers'</v>
      </c>
      <c r="B106" s="61">
        <f ca="1">IFERROR(__xludf.DUMMYFUNCTION("""COMPUTED_VALUE"""),5)</f>
        <v>5</v>
      </c>
      <c r="C106" s="61" t="str">
        <f ca="1">IFERROR(__xludf.DUMMYFUNCTION("""COMPUTED_VALUE"""),"Ruby Slippers Oakleaf Hydrangea")</f>
        <v>Ruby Slippers Oakleaf Hydrangea</v>
      </c>
      <c r="D106" s="61" t="str">
        <f ca="1">IFERROR(__xludf.DUMMYFUNCTION("""COMPUTED_VALUE"""),"#5")</f>
        <v>#5</v>
      </c>
      <c r="E106" s="61" t="str">
        <f ca="1">IFERROR(__xludf.DUMMYFUNCTION("""COMPUTED_VALUE"""),"Multi")</f>
        <v>Multi</v>
      </c>
      <c r="F106" s="61" t="str">
        <f ca="1">IFERROR(__xludf.DUMMYFUNCTION("""COMPUTED_VALUE"""),"2-2.5'")</f>
        <v>2-2.5'</v>
      </c>
      <c r="G106" s="62">
        <f ca="1">IFERROR(__xludf.DUMMYFUNCTION("""COMPUTED_VALUE"""),20)</f>
        <v>20</v>
      </c>
      <c r="H106" s="63">
        <f ca="1">IFERROR(__xludf.DUMMYFUNCTION("""COMPUTED_VALUE"""),37)</f>
        <v>37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IFERROR(__xludf.DUMMYFUNCTION("""COMPUTED_VALUE"""),"Hydrangea que. 'Snow Queen'")</f>
        <v>Hydrangea que. 'Snow Queen'</v>
      </c>
      <c r="B107" s="61">
        <f ca="1">IFERROR(__xludf.DUMMYFUNCTION("""COMPUTED_VALUE"""),5)</f>
        <v>5</v>
      </c>
      <c r="C107" s="61" t="str">
        <f ca="1">IFERROR(__xludf.DUMMYFUNCTION("""COMPUTED_VALUE"""),"Snow Queen Oakleaf Hydrangea")</f>
        <v>Snow Queen Oakleaf Hydrangea</v>
      </c>
      <c r="D107" s="61" t="str">
        <f ca="1">IFERROR(__xludf.DUMMYFUNCTION("""COMPUTED_VALUE"""),"#5")</f>
        <v>#5</v>
      </c>
      <c r="E107" s="61" t="str">
        <f ca="1">IFERROR(__xludf.DUMMYFUNCTION("""COMPUTED_VALUE"""),"Multi")</f>
        <v>Multi</v>
      </c>
      <c r="F107" s="61" t="str">
        <f ca="1">IFERROR(__xludf.DUMMYFUNCTION("""COMPUTED_VALUE"""),"3-4'")</f>
        <v>3-4'</v>
      </c>
      <c r="G107" s="62">
        <f ca="1">IFERROR(__xludf.DUMMYFUNCTION("""COMPUTED_VALUE"""),49)</f>
        <v>49</v>
      </c>
      <c r="H107" s="63">
        <f ca="1">IFERROR(__xludf.DUMMYFUNCTION("""COMPUTED_VALUE"""),37)</f>
        <v>37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IFERROR(__xludf.DUMMYFUNCTION("""COMPUTED_VALUE"""),"Ilex glabra")</f>
        <v>Ilex glabra</v>
      </c>
      <c r="B108" s="61">
        <f ca="1">IFERROR(__xludf.DUMMYFUNCTION("""COMPUTED_VALUE"""),5)</f>
        <v>5</v>
      </c>
      <c r="C108" s="61" t="str">
        <f ca="1">IFERROR(__xludf.DUMMYFUNCTION("""COMPUTED_VALUE"""),"Inkberry")</f>
        <v>Inkberry</v>
      </c>
      <c r="D108" s="61" t="str">
        <f ca="1">IFERROR(__xludf.DUMMYFUNCTION("""COMPUTED_VALUE"""),"#5")</f>
        <v>#5</v>
      </c>
      <c r="E108" s="61" t="str">
        <f ca="1">IFERROR(__xludf.DUMMYFUNCTION("""COMPUTED_VALUE"""),"Multi")</f>
        <v>Multi</v>
      </c>
      <c r="F108" s="61" t="str">
        <f ca="1">IFERROR(__xludf.DUMMYFUNCTION("""COMPUTED_VALUE"""),"1-2.5'")</f>
        <v>1-2.5'</v>
      </c>
      <c r="G108" s="62">
        <f ca="1">IFERROR(__xludf.DUMMYFUNCTION("""COMPUTED_VALUE"""),16)</f>
        <v>16</v>
      </c>
      <c r="H108" s="63">
        <f ca="1">IFERROR(__xludf.DUMMYFUNCTION("""COMPUTED_VALUE"""),37)</f>
        <v>37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IFERROR(__xludf.DUMMYFUNCTION("""COMPUTED_VALUE"""),"Ilex glabra 'Shamrock'")</f>
        <v>Ilex glabra 'Shamrock'</v>
      </c>
      <c r="B109" s="61">
        <f ca="1">IFERROR(__xludf.DUMMYFUNCTION("""COMPUTED_VALUE"""),5)</f>
        <v>5</v>
      </c>
      <c r="C109" s="61" t="str">
        <f ca="1">IFERROR(__xludf.DUMMYFUNCTION("""COMPUTED_VALUE"""),"Shamrock Holly")</f>
        <v>Shamrock Holly</v>
      </c>
      <c r="D109" s="61" t="str">
        <f ca="1">IFERROR(__xludf.DUMMYFUNCTION("""COMPUTED_VALUE"""),"#5")</f>
        <v>#5</v>
      </c>
      <c r="E109" s="61" t="str">
        <f ca="1">IFERROR(__xludf.DUMMYFUNCTION("""COMPUTED_VALUE"""),"Multi")</f>
        <v>Multi</v>
      </c>
      <c r="F109" s="61" t="str">
        <f ca="1">IFERROR(__xludf.DUMMYFUNCTION("""COMPUTED_VALUE"""),"1.5-1.5'")</f>
        <v>1.5-1.5'</v>
      </c>
      <c r="G109" s="62">
        <f ca="1">IFERROR(__xludf.DUMMYFUNCTION("""COMPUTED_VALUE"""),1)</f>
        <v>1</v>
      </c>
      <c r="H109" s="63">
        <f ca="1">IFERROR(__xludf.DUMMYFUNCTION("""COMPUTED_VALUE"""),37)</f>
        <v>37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IFERROR(__xludf.DUMMYFUNCTION("""COMPUTED_VALUE"""),"Laburnum anagyroides")</f>
        <v>Laburnum anagyroides</v>
      </c>
      <c r="B110" s="61">
        <f ca="1">IFERROR(__xludf.DUMMYFUNCTION("""COMPUTED_VALUE"""),5)</f>
        <v>5</v>
      </c>
      <c r="C110" s="61" t="str">
        <f ca="1">IFERROR(__xludf.DUMMYFUNCTION("""COMPUTED_VALUE"""),"Golden Chain Tree")</f>
        <v>Golden Chain Tree</v>
      </c>
      <c r="D110" s="61" t="str">
        <f ca="1">IFERROR(__xludf.DUMMYFUNCTION("""COMPUTED_VALUE"""),"#5")</f>
        <v>#5</v>
      </c>
      <c r="E110" s="61" t="str">
        <f ca="1">IFERROR(__xludf.DUMMYFUNCTION("""COMPUTED_VALUE"""),"Multi")</f>
        <v>Multi</v>
      </c>
      <c r="F110" s="61" t="str">
        <f ca="1">IFERROR(__xludf.DUMMYFUNCTION("""COMPUTED_VALUE"""),"6-6'")</f>
        <v>6-6'</v>
      </c>
      <c r="G110" s="62">
        <f ca="1">IFERROR(__xludf.DUMMYFUNCTION("""COMPUTED_VALUE"""),1)</f>
        <v>1</v>
      </c>
      <c r="H110" s="63">
        <f ca="1">IFERROR(__xludf.DUMMYFUNCTION("""COMPUTED_VALUE"""),50)</f>
        <v>50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IFERROR(__xludf.DUMMYFUNCTION("""COMPUTED_VALUE"""),"Liquidambar styraciflua")</f>
        <v>Liquidambar styraciflua</v>
      </c>
      <c r="B111" s="61">
        <f ca="1">IFERROR(__xludf.DUMMYFUNCTION("""COMPUTED_VALUE"""),5)</f>
        <v>5</v>
      </c>
      <c r="C111" s="61" t="str">
        <f ca="1">IFERROR(__xludf.DUMMYFUNCTION("""COMPUTED_VALUE"""),"Sweet Gum")</f>
        <v>Sweet Gum</v>
      </c>
      <c r="D111" s="61" t="str">
        <f ca="1">IFERROR(__xludf.DUMMYFUNCTION("""COMPUTED_VALUE"""),"#5")</f>
        <v>#5</v>
      </c>
      <c r="E111" s="61" t="str">
        <f ca="1">IFERROR(__xludf.DUMMYFUNCTION("""COMPUTED_VALUE"""),"0.5-1""")</f>
        <v>0.5-1"</v>
      </c>
      <c r="F111" s="61" t="str">
        <f ca="1">IFERROR(__xludf.DUMMYFUNCTION("""COMPUTED_VALUE"""),"4-7'")</f>
        <v>4-7'</v>
      </c>
      <c r="G111" s="62">
        <f ca="1">IFERROR(__xludf.DUMMYFUNCTION("""COMPUTED_VALUE"""),100)</f>
        <v>100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IFERROR(__xludf.DUMMYFUNCTION("""COMPUTED_VALUE"""),"Liquidambar styraciflua 'Hapdell' Happidaze")</f>
        <v>Liquidambar styraciflua 'Hapdell' Happidaze</v>
      </c>
      <c r="B112" s="61">
        <f ca="1">IFERROR(__xludf.DUMMYFUNCTION("""COMPUTED_VALUE"""),10)</f>
        <v>10</v>
      </c>
      <c r="C112" s="61" t="str">
        <f ca="1">IFERROR(__xludf.DUMMYFUNCTION("""COMPUTED_VALUE"""),"Happidaze Sweetgum")</f>
        <v>Happidaze Sweetgum</v>
      </c>
      <c r="D112" s="61" t="str">
        <f ca="1">IFERROR(__xludf.DUMMYFUNCTION("""COMPUTED_VALUE"""),"#10")</f>
        <v>#10</v>
      </c>
      <c r="E112" s="61" t="str">
        <f ca="1">IFERROR(__xludf.DUMMYFUNCTION("""COMPUTED_VALUE"""),"0.75-1.25""")</f>
        <v>0.75-1.25"</v>
      </c>
      <c r="F112" s="61" t="str">
        <f ca="1">IFERROR(__xludf.DUMMYFUNCTION("""COMPUTED_VALUE"""),"5-7'")</f>
        <v>5-7'</v>
      </c>
      <c r="G112" s="62">
        <f ca="1">IFERROR(__xludf.DUMMYFUNCTION("""COMPUTED_VALUE"""),6)</f>
        <v>6</v>
      </c>
      <c r="H112" s="63">
        <f ca="1">IFERROR(__xludf.DUMMYFUNCTION("""COMPUTED_VALUE"""),100)</f>
        <v>100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IFERROR(__xludf.DUMMYFUNCTION("""COMPUTED_VALUE"""),"Liquidambar styraciflua 'Silver King'")</f>
        <v>Liquidambar styraciflua 'Silver King'</v>
      </c>
      <c r="B113" s="61">
        <f ca="1">IFERROR(__xludf.DUMMYFUNCTION("""COMPUTED_VALUE"""),10)</f>
        <v>10</v>
      </c>
      <c r="C113" s="61" t="str">
        <f ca="1">IFERROR(__xludf.DUMMYFUNCTION("""COMPUTED_VALUE"""),"Silver King Sweet Gum")</f>
        <v>Silver King Sweet Gum</v>
      </c>
      <c r="D113" s="61" t="str">
        <f ca="1">IFERROR(__xludf.DUMMYFUNCTION("""COMPUTED_VALUE"""),"#10")</f>
        <v>#10</v>
      </c>
      <c r="E113" s="61" t="str">
        <f ca="1">IFERROR(__xludf.DUMMYFUNCTION("""COMPUTED_VALUE"""),"1-1.25""")</f>
        <v>1-1.25"</v>
      </c>
      <c r="F113" s="61" t="str">
        <f ca="1">IFERROR(__xludf.DUMMYFUNCTION("""COMPUTED_VALUE"""),"6-7'")</f>
        <v>6-7'</v>
      </c>
      <c r="G113" s="62">
        <f ca="1">IFERROR(__xludf.DUMMYFUNCTION("""COMPUTED_VALUE"""),9)</f>
        <v>9</v>
      </c>
      <c r="H113" s="63">
        <f ca="1">IFERROR(__xludf.DUMMYFUNCTION("""COMPUTED_VALUE"""),100)</f>
        <v>100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IFERROR(__xludf.DUMMYFUNCTION("""COMPUTED_VALUE"""),"Liquidambar styraciflua 'Worplesdon'")</f>
        <v>Liquidambar styraciflua 'Worplesdon'</v>
      </c>
      <c r="B114" s="61">
        <f ca="1">IFERROR(__xludf.DUMMYFUNCTION("""COMPUTED_VALUE"""),15)</f>
        <v>15</v>
      </c>
      <c r="C114" s="61" t="str">
        <f ca="1">IFERROR(__xludf.DUMMYFUNCTION("""COMPUTED_VALUE"""),"Worplesdon Sweetgum")</f>
        <v>Worplesdon Sweetgum</v>
      </c>
      <c r="D114" s="61" t="str">
        <f ca="1">IFERROR(__xludf.DUMMYFUNCTION("""COMPUTED_VALUE"""),"#15")</f>
        <v>#15</v>
      </c>
      <c r="E114" s="61" t="str">
        <f ca="1">IFERROR(__xludf.DUMMYFUNCTION("""COMPUTED_VALUE"""),"1.25-1.25""")</f>
        <v>1.25-1.25"</v>
      </c>
      <c r="F114" s="61" t="str">
        <f ca="1">IFERROR(__xludf.DUMMYFUNCTION("""COMPUTED_VALUE"""),"8-8.5'")</f>
        <v>8-8.5'</v>
      </c>
      <c r="G114" s="62">
        <f ca="1">IFERROR(__xludf.DUMMYFUNCTION("""COMPUTED_VALUE"""),2)</f>
        <v>2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IFERROR(__xludf.DUMMYFUNCTION("""COMPUTED_VALUE"""),"Liriodendron tulipifera")</f>
        <v>Liriodendron tulipifera</v>
      </c>
      <c r="B115" s="61">
        <f ca="1">IFERROR(__xludf.DUMMYFUNCTION("""COMPUTED_VALUE"""),5)</f>
        <v>5</v>
      </c>
      <c r="C115" s="61" t="str">
        <f ca="1">IFERROR(__xludf.DUMMYFUNCTION("""COMPUTED_VALUE"""),"Tulip Poplar")</f>
        <v>Tulip Poplar</v>
      </c>
      <c r="D115" s="61" t="str">
        <f ca="1">IFERROR(__xludf.DUMMYFUNCTION("""COMPUTED_VALUE"""),"#5")</f>
        <v>#5</v>
      </c>
      <c r="E115" s="61" t="str">
        <f ca="1">IFERROR(__xludf.DUMMYFUNCTION("""COMPUTED_VALUE"""),"0.5-1""")</f>
        <v>0.5-1"</v>
      </c>
      <c r="F115" s="61" t="str">
        <f ca="1">IFERROR(__xludf.DUMMYFUNCTION("""COMPUTED_VALUE"""),"4-9'")</f>
        <v>4-9'</v>
      </c>
      <c r="G115" s="62">
        <f ca="1">IFERROR(__xludf.DUMMYFUNCTION("""COMPUTED_VALUE"""),104)</f>
        <v>104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IFERROR(__xludf.DUMMYFUNCTION("""COMPUTED_VALUE"""),"Magnolia 'Galaxy'")</f>
        <v>Magnolia 'Galaxy'</v>
      </c>
      <c r="B116" s="61">
        <f ca="1">IFERROR(__xludf.DUMMYFUNCTION("""COMPUTED_VALUE"""),5)</f>
        <v>5</v>
      </c>
      <c r="C116" s="61" t="str">
        <f ca="1">IFERROR(__xludf.DUMMYFUNCTION("""COMPUTED_VALUE"""),"Galaxy Magnolia")</f>
        <v>Galaxy Magnolia</v>
      </c>
      <c r="D116" s="61" t="str">
        <f ca="1">IFERROR(__xludf.DUMMYFUNCTION("""COMPUTED_VALUE"""),"#5")</f>
        <v>#5</v>
      </c>
      <c r="E116" s="61" t="str">
        <f ca="1">IFERROR(__xludf.DUMMYFUNCTION("""COMPUTED_VALUE"""),"0.5-0.75""")</f>
        <v>0.5-0.75"</v>
      </c>
      <c r="F116" s="61" t="str">
        <f ca="1">IFERROR(__xludf.DUMMYFUNCTION("""COMPUTED_VALUE"""),"4-5'")</f>
        <v>4-5'</v>
      </c>
      <c r="G116" s="62">
        <f ca="1">IFERROR(__xludf.DUMMYFUNCTION("""COMPUTED_VALUE"""),12)</f>
        <v>12</v>
      </c>
      <c r="H116" s="63">
        <f ca="1">IFERROR(__xludf.DUMMYFUNCTION("""COMPUTED_VALUE"""),70)</f>
        <v>70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IFERROR(__xludf.DUMMYFUNCTION("""COMPUTED_VALUE"""),"Magnolia ashei")</f>
        <v>Magnolia ashei</v>
      </c>
      <c r="B117" s="61">
        <f ca="1">IFERROR(__xludf.DUMMYFUNCTION("""COMPUTED_VALUE"""),5)</f>
        <v>5</v>
      </c>
      <c r="C117" s="61" t="str">
        <f ca="1">IFERROR(__xludf.DUMMYFUNCTION("""COMPUTED_VALUE"""),"Ashe's Magnolia")</f>
        <v>Ashe's Magnolia</v>
      </c>
      <c r="D117" s="61" t="str">
        <f ca="1">IFERROR(__xludf.DUMMYFUNCTION("""COMPUTED_VALUE"""),"#5")</f>
        <v>#5</v>
      </c>
      <c r="E117" s="61" t="str">
        <f ca="1">IFERROR(__xludf.DUMMYFUNCTION("""COMPUTED_VALUE"""),"0.5-0.5""")</f>
        <v>0.5-0.5"</v>
      </c>
      <c r="F117" s="61" t="str">
        <f ca="1">IFERROR(__xludf.DUMMYFUNCTION("""COMPUTED_VALUE"""),"2-5'")</f>
        <v>2-5'</v>
      </c>
      <c r="G117" s="62">
        <f ca="1">IFERROR(__xludf.DUMMYFUNCTION("""COMPUTED_VALUE"""),21)</f>
        <v>21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IFERROR(__xludf.DUMMYFUNCTION("""COMPUTED_VALUE"""),"Magnolia macrophylla")</f>
        <v>Magnolia macrophylla</v>
      </c>
      <c r="B118" s="61">
        <f ca="1">IFERROR(__xludf.DUMMYFUNCTION("""COMPUTED_VALUE"""),5)</f>
        <v>5</v>
      </c>
      <c r="C118" s="61" t="str">
        <f ca="1">IFERROR(__xludf.DUMMYFUNCTION("""COMPUTED_VALUE"""),"Bigleaf Magnolia")</f>
        <v>Bigleaf Magnolia</v>
      </c>
      <c r="D118" s="61" t="str">
        <f ca="1">IFERROR(__xludf.DUMMYFUNCTION("""COMPUTED_VALUE"""),"#5")</f>
        <v>#5</v>
      </c>
      <c r="E118" s="61" t="str">
        <f ca="1">IFERROR(__xludf.DUMMYFUNCTION("""COMPUTED_VALUE"""),"0.25-0.5""")</f>
        <v>0.25-0.5"</v>
      </c>
      <c r="F118" s="61" t="str">
        <f ca="1">IFERROR(__xludf.DUMMYFUNCTION("""COMPUTED_VALUE"""),"2-4'")</f>
        <v>2-4'</v>
      </c>
      <c r="G118" s="62">
        <f ca="1">IFERROR(__xludf.DUMMYFUNCTION("""COMPUTED_VALUE"""),26)</f>
        <v>26</v>
      </c>
      <c r="H118" s="63">
        <f ca="1">IFERROR(__xludf.DUMMYFUNCTION("""COMPUTED_VALUE"""),70)</f>
        <v>70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IFERROR(__xludf.DUMMYFUNCTION("""COMPUTED_VALUE"""),"Magnolia virginiana")</f>
        <v>Magnolia virginiana</v>
      </c>
      <c r="B119" s="61">
        <f ca="1">IFERROR(__xludf.DUMMYFUNCTION("""COMPUTED_VALUE"""),5)</f>
        <v>5</v>
      </c>
      <c r="C119" s="61" t="str">
        <f ca="1">IFERROR(__xludf.DUMMYFUNCTION("""COMPUTED_VALUE"""),"Sweet Bay Magnolia")</f>
        <v>Sweet Bay Magnolia</v>
      </c>
      <c r="D119" s="61" t="str">
        <f ca="1">IFERROR(__xludf.DUMMYFUNCTION("""COMPUTED_VALUE"""),"#5")</f>
        <v>#5</v>
      </c>
      <c r="E119" s="61" t="str">
        <f ca="1">IFERROR(__xludf.DUMMYFUNCTION("""COMPUTED_VALUE"""),"0.5-1""")</f>
        <v>0.5-1"</v>
      </c>
      <c r="F119" s="61" t="str">
        <f ca="1">IFERROR(__xludf.DUMMYFUNCTION("""COMPUTED_VALUE"""),"4-6'")</f>
        <v>4-6'</v>
      </c>
      <c r="G119" s="62">
        <f ca="1">IFERROR(__xludf.DUMMYFUNCTION("""COMPUTED_VALUE"""),102)</f>
        <v>102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IFERROR(__xludf.DUMMYFUNCTION("""COMPUTED_VALUE"""),"Magnolia virginiana 'Moonglow'")</f>
        <v>Magnolia virginiana 'Moonglow'</v>
      </c>
      <c r="B120" s="61">
        <f ca="1">IFERROR(__xludf.DUMMYFUNCTION("""COMPUTED_VALUE"""),5)</f>
        <v>5</v>
      </c>
      <c r="C120" s="61" t="str">
        <f ca="1">IFERROR(__xludf.DUMMYFUNCTION("""COMPUTED_VALUE"""),"Moonglow Magnolia")</f>
        <v>Moonglow Magnolia</v>
      </c>
      <c r="D120" s="61" t="str">
        <f ca="1">IFERROR(__xludf.DUMMYFUNCTION("""COMPUTED_VALUE"""),"#5")</f>
        <v>#5</v>
      </c>
      <c r="E120" s="61" t="str">
        <f ca="1">IFERROR(__xludf.DUMMYFUNCTION("""COMPUTED_VALUE"""),"0.5-0.75""")</f>
        <v>0.5-0.75"</v>
      </c>
      <c r="F120" s="61" t="str">
        <f ca="1">IFERROR(__xludf.DUMMYFUNCTION("""COMPUTED_VALUE"""),"3-6'")</f>
        <v>3-6'</v>
      </c>
      <c r="G120" s="62">
        <f ca="1">IFERROR(__xludf.DUMMYFUNCTION("""COMPUTED_VALUE"""),17)</f>
        <v>17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IFERROR(__xludf.DUMMYFUNCTION("""COMPUTED_VALUE"""),"Magnolia x 'Ann'")</f>
        <v>Magnolia x 'Ann'</v>
      </c>
      <c r="B121" s="61">
        <f ca="1">IFERROR(__xludf.DUMMYFUNCTION("""COMPUTED_VALUE"""),5)</f>
        <v>5</v>
      </c>
      <c r="C121" s="61" t="str">
        <f ca="1">IFERROR(__xludf.DUMMYFUNCTION("""COMPUTED_VALUE"""),"Ann Magnolia")</f>
        <v>Ann Magnolia</v>
      </c>
      <c r="D121" s="61" t="str">
        <f ca="1">IFERROR(__xludf.DUMMYFUNCTION("""COMPUTED_VALUE"""),"#5")</f>
        <v>#5</v>
      </c>
      <c r="E121" s="61" t="str">
        <f ca="1">IFERROR(__xludf.DUMMYFUNCTION("""COMPUTED_VALUE"""),"Multi")</f>
        <v>Multi</v>
      </c>
      <c r="F121" s="61" t="str">
        <f ca="1">IFERROR(__xludf.DUMMYFUNCTION("""COMPUTED_VALUE"""),"4-5'")</f>
        <v>4-5'</v>
      </c>
      <c r="G121" s="62">
        <f ca="1">IFERROR(__xludf.DUMMYFUNCTION("""COMPUTED_VALUE"""),6)</f>
        <v>6</v>
      </c>
      <c r="H121" s="63">
        <f ca="1">IFERROR(__xludf.DUMMYFUNCTION("""COMPUTED_VALUE"""),70)</f>
        <v>70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IFERROR(__xludf.DUMMYFUNCTION("""COMPUTED_VALUE"""),"Magnolia x 'Jane'")</f>
        <v>Magnolia x 'Jane'</v>
      </c>
      <c r="B122" s="61">
        <f ca="1">IFERROR(__xludf.DUMMYFUNCTION("""COMPUTED_VALUE"""),5)</f>
        <v>5</v>
      </c>
      <c r="C122" s="61" t="str">
        <f ca="1">IFERROR(__xludf.DUMMYFUNCTION("""COMPUTED_VALUE"""),"Jane Magnolia")</f>
        <v>Jane Magnolia</v>
      </c>
      <c r="D122" s="61" t="str">
        <f ca="1">IFERROR(__xludf.DUMMYFUNCTION("""COMPUTED_VALUE"""),"#5")</f>
        <v>#5</v>
      </c>
      <c r="E122" s="61" t="str">
        <f ca="1">IFERROR(__xludf.DUMMYFUNCTION("""COMPUTED_VALUE"""),"0.5-0.75""")</f>
        <v>0.5-0.75"</v>
      </c>
      <c r="F122" s="61" t="str">
        <f ca="1">IFERROR(__xludf.DUMMYFUNCTION("""COMPUTED_VALUE"""),"4-5'")</f>
        <v>4-5'</v>
      </c>
      <c r="G122" s="62">
        <f ca="1">IFERROR(__xludf.DUMMYFUNCTION("""COMPUTED_VALUE"""),11)</f>
        <v>11</v>
      </c>
      <c r="H122" s="63">
        <f ca="1">IFERROR(__xludf.DUMMYFUNCTION("""COMPUTED_VALUE"""),70)</f>
        <v>70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IFERROR(__xludf.DUMMYFUNCTION("""COMPUTED_VALUE"""),"Malus 'Prairifire'")</f>
        <v>Malus 'Prairifire'</v>
      </c>
      <c r="B123" s="61">
        <f ca="1">IFERROR(__xludf.DUMMYFUNCTION("""COMPUTED_VALUE"""),5)</f>
        <v>5</v>
      </c>
      <c r="C123" s="61" t="str">
        <f ca="1">IFERROR(__xludf.DUMMYFUNCTION("""COMPUTED_VALUE"""),"Prairifire Crabapple")</f>
        <v>Prairifire Crabapple</v>
      </c>
      <c r="D123" s="61" t="str">
        <f ca="1">IFERROR(__xludf.DUMMYFUNCTION("""COMPUTED_VALUE"""),"#5")</f>
        <v>#5</v>
      </c>
      <c r="E123" s="61" t="str">
        <f ca="1">IFERROR(__xludf.DUMMYFUNCTION("""COMPUTED_VALUE"""),"0.75-1""")</f>
        <v>0.75-1"</v>
      </c>
      <c r="F123" s="61" t="str">
        <f ca="1">IFERROR(__xludf.DUMMYFUNCTION("""COMPUTED_VALUE"""),"6-7'")</f>
        <v>6-7'</v>
      </c>
      <c r="G123" s="62">
        <f ca="1">IFERROR(__xludf.DUMMYFUNCTION("""COMPUTED_VALUE"""),12)</f>
        <v>12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IFERROR(__xludf.DUMMYFUNCTION("""COMPUTED_VALUE"""),"Malus 'Prairifire'")</f>
        <v>Malus 'Prairifire'</v>
      </c>
      <c r="B124" s="61">
        <f ca="1">IFERROR(__xludf.DUMMYFUNCTION("""COMPUTED_VALUE"""),15)</f>
        <v>15</v>
      </c>
      <c r="C124" s="61" t="str">
        <f ca="1">IFERROR(__xludf.DUMMYFUNCTION("""COMPUTED_VALUE"""),"Prairifire Crabapple")</f>
        <v>Prairifire Crabapple</v>
      </c>
      <c r="D124" s="61" t="str">
        <f ca="1">IFERROR(__xludf.DUMMYFUNCTION("""COMPUTED_VALUE"""),"#15")</f>
        <v>#15</v>
      </c>
      <c r="E124" s="61" t="str">
        <f ca="1">IFERROR(__xludf.DUMMYFUNCTION("""COMPUTED_VALUE"""),"1-1.25""")</f>
        <v>1-1.25"</v>
      </c>
      <c r="F124" s="61" t="str">
        <f ca="1">IFERROR(__xludf.DUMMYFUNCTION("""COMPUTED_VALUE"""),"8-9'")</f>
        <v>8-9'</v>
      </c>
      <c r="G124" s="62">
        <f ca="1">IFERROR(__xludf.DUMMYFUNCTION("""COMPUTED_VALUE"""),3)</f>
        <v>3</v>
      </c>
      <c r="H124" s="63">
        <f ca="1">IFERROR(__xludf.DUMMYFUNCTION("""COMPUTED_VALUE"""),135)</f>
        <v>135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IFERROR(__xludf.DUMMYFUNCTION("""COMPUTED_VALUE"""),"Malus 'Sugar Tyme'")</f>
        <v>Malus 'Sugar Tyme'</v>
      </c>
      <c r="B125" s="61">
        <f ca="1">IFERROR(__xludf.DUMMYFUNCTION("""COMPUTED_VALUE"""),15)</f>
        <v>15</v>
      </c>
      <c r="C125" s="61" t="str">
        <f ca="1">IFERROR(__xludf.DUMMYFUNCTION("""COMPUTED_VALUE"""),"Sugar Tyme Crabapple")</f>
        <v>Sugar Tyme Crabapple</v>
      </c>
      <c r="D125" s="61" t="str">
        <f ca="1">IFERROR(__xludf.DUMMYFUNCTION("""COMPUTED_VALUE"""),"#15")</f>
        <v>#15</v>
      </c>
      <c r="E125" s="61" t="str">
        <f ca="1">IFERROR(__xludf.DUMMYFUNCTION("""COMPUTED_VALUE"""),"1-1.25""")</f>
        <v>1-1.25"</v>
      </c>
      <c r="F125" s="61" t="str">
        <f ca="1">IFERROR(__xludf.DUMMYFUNCTION("""COMPUTED_VALUE"""),"8-10'")</f>
        <v>8-10'</v>
      </c>
      <c r="G125" s="62">
        <f ca="1">IFERROR(__xludf.DUMMYFUNCTION("""COMPUTED_VALUE"""),16)</f>
        <v>16</v>
      </c>
      <c r="H125" s="63">
        <f ca="1">IFERROR(__xludf.DUMMYFUNCTION("""COMPUTED_VALUE"""),135)</f>
        <v>135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IFERROR(__xludf.DUMMYFUNCTION("""COMPUTED_VALUE"""),"Malus dolgo")</f>
        <v>Malus dolgo</v>
      </c>
      <c r="B126" s="61">
        <f ca="1">IFERROR(__xludf.DUMMYFUNCTION("""COMPUTED_VALUE"""),5)</f>
        <v>5</v>
      </c>
      <c r="C126" s="61" t="str">
        <f ca="1">IFERROR(__xludf.DUMMYFUNCTION("""COMPUTED_VALUE"""),"Dolgo Crabapple")</f>
        <v>Dolgo Crabapple</v>
      </c>
      <c r="D126" s="61" t="str">
        <f ca="1">IFERROR(__xludf.DUMMYFUNCTION("""COMPUTED_VALUE"""),"#5")</f>
        <v>#5</v>
      </c>
      <c r="E126" s="61" t="str">
        <f ca="1">IFERROR(__xludf.DUMMYFUNCTION("""COMPUTED_VALUE"""),"0.5-0.75""")</f>
        <v>0.5-0.75"</v>
      </c>
      <c r="F126" s="61" t="str">
        <f ca="1">IFERROR(__xludf.DUMMYFUNCTION("""COMPUTED_VALUE"""),"4-7'")</f>
        <v>4-7'</v>
      </c>
      <c r="G126" s="62">
        <f ca="1">IFERROR(__xludf.DUMMYFUNCTION("""COMPUTED_VALUE"""),29)</f>
        <v>29</v>
      </c>
      <c r="H126" s="63">
        <f ca="1">IFERROR(__xludf.DUMMYFUNCTION("""COMPUTED_VALUE"""),50)</f>
        <v>50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IFERROR(__xludf.DUMMYFUNCTION("""COMPUTED_VALUE"""),"Metasequoia glyptostroboides")</f>
        <v>Metasequoia glyptostroboides</v>
      </c>
      <c r="B127" s="61">
        <f ca="1">IFERROR(__xludf.DUMMYFUNCTION("""COMPUTED_VALUE"""),5)</f>
        <v>5</v>
      </c>
      <c r="C127" s="61" t="str">
        <f ca="1">IFERROR(__xludf.DUMMYFUNCTION("""COMPUTED_VALUE"""),"Dawn Redwood")</f>
        <v>Dawn Redwood</v>
      </c>
      <c r="D127" s="61" t="str">
        <f ca="1">IFERROR(__xludf.DUMMYFUNCTION("""COMPUTED_VALUE"""),"#5")</f>
        <v>#5</v>
      </c>
      <c r="E127" s="61" t="str">
        <f ca="1">IFERROR(__xludf.DUMMYFUNCTION("""COMPUTED_VALUE"""),"1-1.75""")</f>
        <v>1-1.75"</v>
      </c>
      <c r="F127" s="61" t="str">
        <f ca="1">IFERROR(__xludf.DUMMYFUNCTION("""COMPUTED_VALUE"""),"5-10'")</f>
        <v>5-10'</v>
      </c>
      <c r="G127" s="62">
        <f ca="1">IFERROR(__xludf.DUMMYFUNCTION("""COMPUTED_VALUE"""),215)</f>
        <v>215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IFERROR(__xludf.DUMMYFUNCTION("""COMPUTED_VALUE"""),"Metasequoia glyptostroboides")</f>
        <v>Metasequoia glyptostroboides</v>
      </c>
      <c r="B128" s="61" t="str">
        <f ca="1">IFERROR(__xludf.DUMMYFUNCTION("""COMPUTED_VALUE"""),"25")</f>
        <v>25</v>
      </c>
      <c r="C128" s="61" t="str">
        <f ca="1">IFERROR(__xludf.DUMMYFUNCTION("""COMPUTED_VALUE"""),"Dawn Redwood")</f>
        <v>Dawn Redwood</v>
      </c>
      <c r="D128" s="61" t="str">
        <f ca="1">IFERROR(__xludf.DUMMYFUNCTION("""COMPUTED_VALUE"""),"#25")</f>
        <v>#25</v>
      </c>
      <c r="E128" s="61" t="str">
        <f ca="1">IFERROR(__xludf.DUMMYFUNCTION("""COMPUTED_VALUE"""),"1-1.5""")</f>
        <v>1-1.5"</v>
      </c>
      <c r="F128" s="61" t="str">
        <f ca="1">IFERROR(__xludf.DUMMYFUNCTION("""COMPUTED_VALUE"""),"7-9'")</f>
        <v>7-9'</v>
      </c>
      <c r="G128" s="62">
        <f ca="1">IFERROR(__xludf.DUMMYFUNCTION("""COMPUTED_VALUE"""),10)</f>
        <v>10</v>
      </c>
      <c r="H128" s="63">
        <f ca="1">IFERROR(__xludf.DUMMYFUNCTION("""COMPUTED_VALUE"""),150)</f>
        <v>150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IFERROR(__xludf.DUMMYFUNCTION("""COMPUTED_VALUE"""),"Myrica pennsylvanica")</f>
        <v>Myrica pennsylvanica</v>
      </c>
      <c r="B129" s="61">
        <f ca="1">IFERROR(__xludf.DUMMYFUNCTION("""COMPUTED_VALUE"""),5)</f>
        <v>5</v>
      </c>
      <c r="C129" s="61" t="str">
        <f ca="1">IFERROR(__xludf.DUMMYFUNCTION("""COMPUTED_VALUE"""),"Bayberry")</f>
        <v>Bayberry</v>
      </c>
      <c r="D129" s="61" t="str">
        <f ca="1">IFERROR(__xludf.DUMMYFUNCTION("""COMPUTED_VALUE"""),"#5")</f>
        <v>#5</v>
      </c>
      <c r="E129" s="61" t="str">
        <f ca="1">IFERROR(__xludf.DUMMYFUNCTION("""COMPUTED_VALUE"""),"Multi")</f>
        <v>Multi</v>
      </c>
      <c r="F129" s="61" t="str">
        <f ca="1">IFERROR(__xludf.DUMMYFUNCTION("""COMPUTED_VALUE"""),"2-3'")</f>
        <v>2-3'</v>
      </c>
      <c r="G129" s="62">
        <f ca="1">IFERROR(__xludf.DUMMYFUNCTION("""COMPUTED_VALUE"""),105)</f>
        <v>105</v>
      </c>
      <c r="H129" s="63">
        <f ca="1">IFERROR(__xludf.DUMMYFUNCTION("""COMPUTED_VALUE"""),37)</f>
        <v>37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IFERROR(__xludf.DUMMYFUNCTION("""COMPUTED_VALUE"""),"Nyssa sylvatica")</f>
        <v>Nyssa sylvatica</v>
      </c>
      <c r="B130" s="61">
        <f ca="1">IFERROR(__xludf.DUMMYFUNCTION("""COMPUTED_VALUE"""),5)</f>
        <v>5</v>
      </c>
      <c r="C130" s="61" t="str">
        <f ca="1">IFERROR(__xludf.DUMMYFUNCTION("""COMPUTED_VALUE"""),"Black Gum")</f>
        <v>Black Gum</v>
      </c>
      <c r="D130" s="61" t="str">
        <f ca="1">IFERROR(__xludf.DUMMYFUNCTION("""COMPUTED_VALUE"""),"#5")</f>
        <v>#5</v>
      </c>
      <c r="E130" s="61" t="str">
        <f ca="1">IFERROR(__xludf.DUMMYFUNCTION("""COMPUTED_VALUE"""),"0.25-1""")</f>
        <v>0.25-1"</v>
      </c>
      <c r="F130" s="61" t="str">
        <f ca="1">IFERROR(__xludf.DUMMYFUNCTION("""COMPUTED_VALUE"""),"3.5-5'")</f>
        <v>3.5-5'</v>
      </c>
      <c r="G130" s="62">
        <f ca="1">IFERROR(__xludf.DUMMYFUNCTION("""COMPUTED_VALUE"""),206)</f>
        <v>206</v>
      </c>
      <c r="H130" s="63">
        <f ca="1">IFERROR(__xludf.DUMMYFUNCTION("""COMPUTED_VALUE"""),50)</f>
        <v>50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IFERROR(__xludf.DUMMYFUNCTION("""COMPUTED_VALUE"""),"Nyssa sylvatica 'Green Gable'")</f>
        <v>Nyssa sylvatica 'Green Gable'</v>
      </c>
      <c r="B131" s="61">
        <f ca="1">IFERROR(__xludf.DUMMYFUNCTION("""COMPUTED_VALUE"""),5)</f>
        <v>5</v>
      </c>
      <c r="C131" s="61" t="str">
        <f ca="1">IFERROR(__xludf.DUMMYFUNCTION("""COMPUTED_VALUE"""),"Green Gable Black Gum")</f>
        <v>Green Gable Black Gum</v>
      </c>
      <c r="D131" s="61" t="str">
        <f ca="1">IFERROR(__xludf.DUMMYFUNCTION("""COMPUTED_VALUE"""),"#5")</f>
        <v>#5</v>
      </c>
      <c r="E131" s="61" t="str">
        <f ca="1">IFERROR(__xludf.DUMMYFUNCTION("""COMPUTED_VALUE"""),"0.75-1""")</f>
        <v>0.75-1"</v>
      </c>
      <c r="F131" s="61" t="str">
        <f ca="1">IFERROR(__xludf.DUMMYFUNCTION("""COMPUTED_VALUE"""),"6.5-7.5'")</f>
        <v>6.5-7.5'</v>
      </c>
      <c r="G131" s="62">
        <f ca="1">IFERROR(__xludf.DUMMYFUNCTION("""COMPUTED_VALUE"""),8)</f>
        <v>8</v>
      </c>
      <c r="H131" s="63">
        <f ca="1">IFERROR(__xludf.DUMMYFUNCTION("""COMPUTED_VALUE"""),70)</f>
        <v>70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IFERROR(__xludf.DUMMYFUNCTION("""COMPUTED_VALUE"""),"Nyssa sylvatica 'Wildfire'")</f>
        <v>Nyssa sylvatica 'Wildfire'</v>
      </c>
      <c r="B132" s="61">
        <f ca="1">IFERROR(__xludf.DUMMYFUNCTION("""COMPUTED_VALUE"""),5)</f>
        <v>5</v>
      </c>
      <c r="C132" s="61" t="str">
        <f ca="1">IFERROR(__xludf.DUMMYFUNCTION("""COMPUTED_VALUE"""),"Wildfire Black Gum")</f>
        <v>Wildfire Black Gum</v>
      </c>
      <c r="D132" s="61" t="str">
        <f ca="1">IFERROR(__xludf.DUMMYFUNCTION("""COMPUTED_VALUE"""),"#5")</f>
        <v>#5</v>
      </c>
      <c r="E132" s="61" t="str">
        <f ca="1">IFERROR(__xludf.DUMMYFUNCTION("""COMPUTED_VALUE"""),"0.75-0.75""")</f>
        <v>0.75-0.75"</v>
      </c>
      <c r="F132" s="61" t="str">
        <f ca="1">IFERROR(__xludf.DUMMYFUNCTION("""COMPUTED_VALUE"""),"5-6'")</f>
        <v>5-6'</v>
      </c>
      <c r="G132" s="62">
        <f ca="1">IFERROR(__xludf.DUMMYFUNCTION("""COMPUTED_VALUE"""),1)</f>
        <v>1</v>
      </c>
      <c r="H132" s="63">
        <f ca="1">IFERROR(__xludf.DUMMYFUNCTION("""COMPUTED_VALUE"""),70)</f>
        <v>70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IFERROR(__xludf.DUMMYFUNCTION("""COMPUTED_VALUE"""),"Ostrya virginiana")</f>
        <v>Ostrya virginiana</v>
      </c>
      <c r="B133" s="61">
        <f ca="1">IFERROR(__xludf.DUMMYFUNCTION("""COMPUTED_VALUE"""),5)</f>
        <v>5</v>
      </c>
      <c r="C133" s="61" t="str">
        <f ca="1">IFERROR(__xludf.DUMMYFUNCTION("""COMPUTED_VALUE"""),"American Hophornbeam")</f>
        <v>American Hophornbeam</v>
      </c>
      <c r="D133" s="61" t="str">
        <f ca="1">IFERROR(__xludf.DUMMYFUNCTION("""COMPUTED_VALUE"""),"#5")</f>
        <v>#5</v>
      </c>
      <c r="E133" s="61" t="str">
        <f ca="1">IFERROR(__xludf.DUMMYFUNCTION("""COMPUTED_VALUE"""),"0.75-1.25""")</f>
        <v>0.75-1.25"</v>
      </c>
      <c r="F133" s="61" t="str">
        <f ca="1">IFERROR(__xludf.DUMMYFUNCTION("""COMPUTED_VALUE"""),"6-12'")</f>
        <v>6-12'</v>
      </c>
      <c r="G133" s="62">
        <f ca="1">IFERROR(__xludf.DUMMYFUNCTION("""COMPUTED_VALUE"""),99)</f>
        <v>99</v>
      </c>
      <c r="H133" s="63">
        <f ca="1">IFERROR(__xludf.DUMMYFUNCTION("""COMPUTED_VALUE"""),50)</f>
        <v>50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IFERROR(__xludf.DUMMYFUNCTION("""COMPUTED_VALUE"""),"Oxydendrum arboreum")</f>
        <v>Oxydendrum arboreum</v>
      </c>
      <c r="B134" s="61">
        <f ca="1">IFERROR(__xludf.DUMMYFUNCTION("""COMPUTED_VALUE"""),5)</f>
        <v>5</v>
      </c>
      <c r="C134" s="61" t="str">
        <f ca="1">IFERROR(__xludf.DUMMYFUNCTION("""COMPUTED_VALUE"""),"Sourwood")</f>
        <v>Sourwood</v>
      </c>
      <c r="D134" s="61" t="str">
        <f ca="1">IFERROR(__xludf.DUMMYFUNCTION("""COMPUTED_VALUE"""),"#5")</f>
        <v>#5</v>
      </c>
      <c r="E134" s="61" t="str">
        <f ca="1">IFERROR(__xludf.DUMMYFUNCTION("""COMPUTED_VALUE"""),"Multi")</f>
        <v>Multi</v>
      </c>
      <c r="F134" s="61" t="str">
        <f ca="1">IFERROR(__xludf.DUMMYFUNCTION("""COMPUTED_VALUE"""),"2-6.5'")</f>
        <v>2-6.5'</v>
      </c>
      <c r="G134" s="62">
        <f ca="1">IFERROR(__xludf.DUMMYFUNCTION("""COMPUTED_VALUE"""),201)</f>
        <v>201</v>
      </c>
      <c r="H134" s="63">
        <f ca="1">IFERROR(__xludf.DUMMYFUNCTION("""COMPUTED_VALUE"""),50)</f>
        <v>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IFERROR(__xludf.DUMMYFUNCTION("""COMPUTED_VALUE"""),"Parrotia persica")</f>
        <v>Parrotia persica</v>
      </c>
      <c r="B135" s="61">
        <f ca="1">IFERROR(__xludf.DUMMYFUNCTION("""COMPUTED_VALUE"""),5)</f>
        <v>5</v>
      </c>
      <c r="C135" s="61" t="str">
        <f ca="1">IFERROR(__xludf.DUMMYFUNCTION("""COMPUTED_VALUE"""),"Persian Parrotia")</f>
        <v>Persian Parrotia</v>
      </c>
      <c r="D135" s="61" t="str">
        <f ca="1">IFERROR(__xludf.DUMMYFUNCTION("""COMPUTED_VALUE"""),"#5")</f>
        <v>#5</v>
      </c>
      <c r="E135" s="61" t="str">
        <f ca="1">IFERROR(__xludf.DUMMYFUNCTION("""COMPUTED_VALUE"""),"Multi")</f>
        <v>Multi</v>
      </c>
      <c r="F135" s="61" t="str">
        <f ca="1">IFERROR(__xludf.DUMMYFUNCTION("""COMPUTED_VALUE"""),"3-6.5'")</f>
        <v>3-6.5'</v>
      </c>
      <c r="G135" s="62">
        <f ca="1">IFERROR(__xludf.DUMMYFUNCTION("""COMPUTED_VALUE"""),48)</f>
        <v>48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IFERROR(__xludf.DUMMYFUNCTION("""COMPUTED_VALUE"""),"Picea abies")</f>
        <v>Picea abies</v>
      </c>
      <c r="B136" s="61">
        <f ca="1">IFERROR(__xludf.DUMMYFUNCTION("""COMPUTED_VALUE"""),5)</f>
        <v>5</v>
      </c>
      <c r="C136" s="61" t="str">
        <f ca="1">IFERROR(__xludf.DUMMYFUNCTION("""COMPUTED_VALUE"""),"Norway Spruce")</f>
        <v>Norway Spruce</v>
      </c>
      <c r="D136" s="61" t="str">
        <f ca="1">IFERROR(__xludf.DUMMYFUNCTION("""COMPUTED_VALUE"""),"#5")</f>
        <v>#5</v>
      </c>
      <c r="E136" s="61" t="str">
        <f ca="1">IFERROR(__xludf.DUMMYFUNCTION("""COMPUTED_VALUE"""),"0.75-1.25""")</f>
        <v>0.75-1.25"</v>
      </c>
      <c r="F136" s="61" t="str">
        <f ca="1">IFERROR(__xludf.DUMMYFUNCTION("""COMPUTED_VALUE"""),"3-4'")</f>
        <v>3-4'</v>
      </c>
      <c r="G136" s="62">
        <f ca="1">IFERROR(__xludf.DUMMYFUNCTION("""COMPUTED_VALUE"""),108)</f>
        <v>108</v>
      </c>
      <c r="H136" s="63">
        <f ca="1">IFERROR(__xludf.DUMMYFUNCTION("""COMPUTED_VALUE"""),50)</f>
        <v>50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IFERROR(__xludf.DUMMYFUNCTION("""COMPUTED_VALUE"""),"Pinus virginiana ")</f>
        <v xml:space="preserve">Pinus virginiana </v>
      </c>
      <c r="B137" s="61">
        <f ca="1">IFERROR(__xludf.DUMMYFUNCTION("""COMPUTED_VALUE"""),5)</f>
        <v>5</v>
      </c>
      <c r="C137" s="61" t="str">
        <f ca="1">IFERROR(__xludf.DUMMYFUNCTION("""COMPUTED_VALUE"""),"Virginia Pine")</f>
        <v>Virginia Pine</v>
      </c>
      <c r="D137" s="61" t="str">
        <f ca="1">IFERROR(__xludf.DUMMYFUNCTION("""COMPUTED_VALUE"""),"#5")</f>
        <v>#5</v>
      </c>
      <c r="E137" s="61" t="str">
        <f ca="1">IFERROR(__xludf.DUMMYFUNCTION("""COMPUTED_VALUE"""),"0.5-1""")</f>
        <v>0.5-1"</v>
      </c>
      <c r="F137" s="61" t="str">
        <f ca="1">IFERROR(__xludf.DUMMYFUNCTION("""COMPUTED_VALUE"""),"2-3'")</f>
        <v>2-3'</v>
      </c>
      <c r="G137" s="62">
        <f ca="1">IFERROR(__xludf.DUMMYFUNCTION("""COMPUTED_VALUE"""),14)</f>
        <v>14</v>
      </c>
      <c r="H137" s="63">
        <f ca="1">IFERROR(__xludf.DUMMYFUNCTION("""COMPUTED_VALUE"""),50)</f>
        <v>50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IFERROR(__xludf.DUMMYFUNCTION("""COMPUTED_VALUE"""),"Platanus x acerifolia 'Exclamation'")</f>
        <v>Platanus x acerifolia 'Exclamation'</v>
      </c>
      <c r="B138" s="61">
        <f ca="1">IFERROR(__xludf.DUMMYFUNCTION("""COMPUTED_VALUE"""),10)</f>
        <v>10</v>
      </c>
      <c r="C138" s="61" t="str">
        <f ca="1">IFERROR(__xludf.DUMMYFUNCTION("""COMPUTED_VALUE"""),"Exclamation London Plane Tree")</f>
        <v>Exclamation London Plane Tree</v>
      </c>
      <c r="D138" s="61" t="str">
        <f ca="1">IFERROR(__xludf.DUMMYFUNCTION("""COMPUTED_VALUE"""),"#10")</f>
        <v>#10</v>
      </c>
      <c r="E138" s="61" t="str">
        <f ca="1">IFERROR(__xludf.DUMMYFUNCTION("""COMPUTED_VALUE"""),"1.5-1.75""")</f>
        <v>1.5-1.75"</v>
      </c>
      <c r="F138" s="61" t="str">
        <f ca="1">IFERROR(__xludf.DUMMYFUNCTION("""COMPUTED_VALUE"""),"12-13.5'")</f>
        <v>12-13.5'</v>
      </c>
      <c r="G138" s="62">
        <f ca="1">IFERROR(__xludf.DUMMYFUNCTION("""COMPUTED_VALUE"""),2)</f>
        <v>2</v>
      </c>
      <c r="H138" s="63">
        <f ca="1">IFERROR(__xludf.DUMMYFUNCTION("""COMPUTED_VALUE"""),100)</f>
        <v>100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IFERROR(__xludf.DUMMYFUNCTION("""COMPUTED_VALUE"""),"Platanus x acerifolia 'Exclamation'")</f>
        <v>Platanus x acerifolia 'Exclamation'</v>
      </c>
      <c r="B139" s="61">
        <f ca="1">IFERROR(__xludf.DUMMYFUNCTION("""COMPUTED_VALUE"""),15)</f>
        <v>15</v>
      </c>
      <c r="C139" s="61" t="str">
        <f ca="1">IFERROR(__xludf.DUMMYFUNCTION("""COMPUTED_VALUE"""),"Exclamation London Plane Tree")</f>
        <v>Exclamation London Plane Tree</v>
      </c>
      <c r="D139" s="61" t="str">
        <f ca="1">IFERROR(__xludf.DUMMYFUNCTION("""COMPUTED_VALUE"""),"#15")</f>
        <v>#15</v>
      </c>
      <c r="E139" s="61" t="str">
        <f ca="1">IFERROR(__xludf.DUMMYFUNCTION("""COMPUTED_VALUE"""),"1.25-1.5""")</f>
        <v>1.25-1.5"</v>
      </c>
      <c r="F139" s="61" t="str">
        <f ca="1">IFERROR(__xludf.DUMMYFUNCTION("""COMPUTED_VALUE"""),"10-12'")</f>
        <v>10-12'</v>
      </c>
      <c r="G139" s="62">
        <f ca="1">IFERROR(__xludf.DUMMYFUNCTION("""COMPUTED_VALUE"""),4)</f>
        <v>4</v>
      </c>
      <c r="H139" s="63">
        <f ca="1">IFERROR(__xludf.DUMMYFUNCTION("""COMPUTED_VALUE"""),135)</f>
        <v>135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IFERROR(__xludf.DUMMYFUNCTION("""COMPUTED_VALUE"""),"Populus tremuloides")</f>
        <v>Populus tremuloides</v>
      </c>
      <c r="B140" s="61">
        <f ca="1">IFERROR(__xludf.DUMMYFUNCTION("""COMPUTED_VALUE"""),5)</f>
        <v>5</v>
      </c>
      <c r="C140" s="61" t="str">
        <f ca="1">IFERROR(__xludf.DUMMYFUNCTION("""COMPUTED_VALUE"""),"Quaking Aspen")</f>
        <v>Quaking Aspen</v>
      </c>
      <c r="D140" s="61" t="str">
        <f ca="1">IFERROR(__xludf.DUMMYFUNCTION("""COMPUTED_VALUE"""),"#5")</f>
        <v>#5</v>
      </c>
      <c r="E140" s="61" t="str">
        <f ca="1">IFERROR(__xludf.DUMMYFUNCTION("""COMPUTED_VALUE"""),"0.5-0.75""")</f>
        <v>0.5-0.75"</v>
      </c>
      <c r="F140" s="61" t="str">
        <f ca="1">IFERROR(__xludf.DUMMYFUNCTION("""COMPUTED_VALUE"""),"4-7'")</f>
        <v>4-7'</v>
      </c>
      <c r="G140" s="62">
        <f ca="1">IFERROR(__xludf.DUMMYFUNCTION("""COMPUTED_VALUE"""),26)</f>
        <v>26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IFERROR(__xludf.DUMMYFUNCTION("""COMPUTED_VALUE"""),"Populus tremuloides")</f>
        <v>Populus tremuloides</v>
      </c>
      <c r="B141" s="61">
        <f ca="1">IFERROR(__xludf.DUMMYFUNCTION("""COMPUTED_VALUE"""),15)</f>
        <v>15</v>
      </c>
      <c r="C141" s="61" t="str">
        <f ca="1">IFERROR(__xludf.DUMMYFUNCTION("""COMPUTED_VALUE"""),"Quaking Aspen")</f>
        <v>Quaking Aspen</v>
      </c>
      <c r="D141" s="61" t="str">
        <f ca="1">IFERROR(__xludf.DUMMYFUNCTION("""COMPUTED_VALUE"""),"#15")</f>
        <v>#15</v>
      </c>
      <c r="E141" s="61" t="str">
        <f ca="1">IFERROR(__xludf.DUMMYFUNCTION("""COMPUTED_VALUE"""),"1-1.25""")</f>
        <v>1-1.25"</v>
      </c>
      <c r="F141" s="61" t="str">
        <f ca="1">IFERROR(__xludf.DUMMYFUNCTION("""COMPUTED_VALUE"""),"10-12'")</f>
        <v>10-12'</v>
      </c>
      <c r="G141" s="62">
        <f ca="1">IFERROR(__xludf.DUMMYFUNCTION("""COMPUTED_VALUE"""),9)</f>
        <v>9</v>
      </c>
      <c r="H141" s="63">
        <f ca="1">IFERROR(__xludf.DUMMYFUNCTION("""COMPUTED_VALUE"""),135)</f>
        <v>135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IFERROR(__xludf.DUMMYFUNCTION("""COMPUTED_VALUE"""),"Prunus 'Autumnalis'")</f>
        <v>Prunus 'Autumnalis'</v>
      </c>
      <c r="B142" s="61">
        <f ca="1">IFERROR(__xludf.DUMMYFUNCTION("""COMPUTED_VALUE"""),10)</f>
        <v>10</v>
      </c>
      <c r="C142" s="61" t="str">
        <f ca="1">IFERROR(__xludf.DUMMYFUNCTION("""COMPUTED_VALUE"""),"Autumnalis Cherry")</f>
        <v>Autumnalis Cherry</v>
      </c>
      <c r="D142" s="61" t="str">
        <f ca="1">IFERROR(__xludf.DUMMYFUNCTION("""COMPUTED_VALUE"""),"#10")</f>
        <v>#10</v>
      </c>
      <c r="E142" s="61" t="str">
        <f ca="1">IFERROR(__xludf.DUMMYFUNCTION("""COMPUTED_VALUE"""),"1-1.25""")</f>
        <v>1-1.25"</v>
      </c>
      <c r="F142" s="61" t="str">
        <f ca="1">IFERROR(__xludf.DUMMYFUNCTION("""COMPUTED_VALUE"""),"7-10'")</f>
        <v>7-10'</v>
      </c>
      <c r="G142" s="62">
        <f ca="1">IFERROR(__xludf.DUMMYFUNCTION("""COMPUTED_VALUE"""),21)</f>
        <v>21</v>
      </c>
      <c r="H142" s="63">
        <f ca="1">IFERROR(__xludf.DUMMYFUNCTION("""COMPUTED_VALUE"""),100)</f>
        <v>100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IFERROR(__xludf.DUMMYFUNCTION("""COMPUTED_VALUE"""),"Prunus 'Autumnalis'")</f>
        <v>Prunus 'Autumnalis'</v>
      </c>
      <c r="B143" s="61">
        <f ca="1">IFERROR(__xludf.DUMMYFUNCTION("""COMPUTED_VALUE"""),15)</f>
        <v>15</v>
      </c>
      <c r="C143" s="61" t="str">
        <f ca="1">IFERROR(__xludf.DUMMYFUNCTION("""COMPUTED_VALUE"""),"Autumnalis Cherry")</f>
        <v>Autumnalis Cherry</v>
      </c>
      <c r="D143" s="61" t="str">
        <f ca="1">IFERROR(__xludf.DUMMYFUNCTION("""COMPUTED_VALUE"""),"#15")</f>
        <v>#15</v>
      </c>
      <c r="E143" s="61" t="str">
        <f ca="1">IFERROR(__xludf.DUMMYFUNCTION("""COMPUTED_VALUE"""),"0.75-1""")</f>
        <v>0.75-1"</v>
      </c>
      <c r="F143" s="61" t="str">
        <f ca="1">IFERROR(__xludf.DUMMYFUNCTION("""COMPUTED_VALUE"""),"8-9'")</f>
        <v>8-9'</v>
      </c>
      <c r="G143" s="62">
        <f ca="1">IFERROR(__xludf.DUMMYFUNCTION("""COMPUTED_VALUE"""),2)</f>
        <v>2</v>
      </c>
      <c r="H143" s="63">
        <f ca="1">IFERROR(__xludf.DUMMYFUNCTION("""COMPUTED_VALUE"""),135)</f>
        <v>135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IFERROR(__xludf.DUMMYFUNCTION("""COMPUTED_VALUE"""),"Prunus 'Mt. Fuji'")</f>
        <v>Prunus 'Mt. Fuji'</v>
      </c>
      <c r="B144" s="61">
        <f ca="1">IFERROR(__xludf.DUMMYFUNCTION("""COMPUTED_VALUE"""),15)</f>
        <v>15</v>
      </c>
      <c r="C144" s="61" t="str">
        <f ca="1">IFERROR(__xludf.DUMMYFUNCTION("""COMPUTED_VALUE"""),"Mt Fuji Cherry")</f>
        <v>Mt Fuji Cherry</v>
      </c>
      <c r="D144" s="61" t="str">
        <f ca="1">IFERROR(__xludf.DUMMYFUNCTION("""COMPUTED_VALUE"""),"#15")</f>
        <v>#15</v>
      </c>
      <c r="E144" s="61" t="str">
        <f ca="1">IFERROR(__xludf.DUMMYFUNCTION("""COMPUTED_VALUE"""),"1.25-1.25""")</f>
        <v>1.25-1.25"</v>
      </c>
      <c r="F144" s="61" t="str">
        <f ca="1">IFERROR(__xludf.DUMMYFUNCTION("""COMPUTED_VALUE"""),"8-9'")</f>
        <v>8-9'</v>
      </c>
      <c r="G144" s="62">
        <f ca="1">IFERROR(__xludf.DUMMYFUNCTION("""COMPUTED_VALUE"""),2)</f>
        <v>2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IFERROR(__xludf.DUMMYFUNCTION("""COMPUTED_VALUE"""),"Prunus 'Okame'")</f>
        <v>Prunus 'Okame'</v>
      </c>
      <c r="B145" s="61">
        <f ca="1">IFERROR(__xludf.DUMMYFUNCTION("""COMPUTED_VALUE"""),10)</f>
        <v>10</v>
      </c>
      <c r="C145" s="61" t="str">
        <f ca="1">IFERROR(__xludf.DUMMYFUNCTION("""COMPUTED_VALUE"""),"Okame Cherry")</f>
        <v>Okame Cherry</v>
      </c>
      <c r="D145" s="61" t="str">
        <f ca="1">IFERROR(__xludf.DUMMYFUNCTION("""COMPUTED_VALUE"""),"#10")</f>
        <v>#10</v>
      </c>
      <c r="E145" s="61" t="str">
        <f ca="1">IFERROR(__xludf.DUMMYFUNCTION("""COMPUTED_VALUE"""),"0.75-1.75""")</f>
        <v>0.75-1.75"</v>
      </c>
      <c r="F145" s="61" t="str">
        <f ca="1">IFERROR(__xludf.DUMMYFUNCTION("""COMPUTED_VALUE"""),"6-14'")</f>
        <v>6-14'</v>
      </c>
      <c r="G145" s="62">
        <f ca="1">IFERROR(__xludf.DUMMYFUNCTION("""COMPUTED_VALUE"""),29)</f>
        <v>29</v>
      </c>
      <c r="H145" s="63">
        <f ca="1">IFERROR(__xludf.DUMMYFUNCTION("""COMPUTED_VALUE"""),100)</f>
        <v>100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IFERROR(__xludf.DUMMYFUNCTION("""COMPUTED_VALUE"""),"Prunus 'Okame'")</f>
        <v>Prunus 'Okame'</v>
      </c>
      <c r="B146" s="61">
        <f ca="1">IFERROR(__xludf.DUMMYFUNCTION("""COMPUTED_VALUE"""),15)</f>
        <v>15</v>
      </c>
      <c r="C146" s="61" t="str">
        <f ca="1">IFERROR(__xludf.DUMMYFUNCTION("""COMPUTED_VALUE"""),"Okame Cherry")</f>
        <v>Okame Cherry</v>
      </c>
      <c r="D146" s="61" t="str">
        <f ca="1">IFERROR(__xludf.DUMMYFUNCTION("""COMPUTED_VALUE"""),"#15")</f>
        <v>#15</v>
      </c>
      <c r="E146" s="61" t="str">
        <f ca="1">IFERROR(__xludf.DUMMYFUNCTION("""COMPUTED_VALUE"""),"0.75-1""")</f>
        <v>0.75-1"</v>
      </c>
      <c r="F146" s="61" t="str">
        <f ca="1">IFERROR(__xludf.DUMMYFUNCTION("""COMPUTED_VALUE"""),"8-11'")</f>
        <v>8-11'</v>
      </c>
      <c r="G146" s="62">
        <f ca="1">IFERROR(__xludf.DUMMYFUNCTION("""COMPUTED_VALUE"""),2)</f>
        <v>2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IFERROR(__xludf.DUMMYFUNCTION("""COMPUTED_VALUE"""),"Prunus × yedoensis")</f>
        <v>Prunus × yedoensis</v>
      </c>
      <c r="B147" s="61">
        <f ca="1">IFERROR(__xludf.DUMMYFUNCTION("""COMPUTED_VALUE"""),15)</f>
        <v>15</v>
      </c>
      <c r="C147" s="61" t="str">
        <f ca="1">IFERROR(__xludf.DUMMYFUNCTION("""COMPUTED_VALUE"""),"Yoshino Cherry")</f>
        <v>Yoshino Cherry</v>
      </c>
      <c r="D147" s="61" t="str">
        <f ca="1">IFERROR(__xludf.DUMMYFUNCTION("""COMPUTED_VALUE"""),"#15")</f>
        <v>#15</v>
      </c>
      <c r="E147" s="61" t="str">
        <f ca="1">IFERROR(__xludf.DUMMYFUNCTION("""COMPUTED_VALUE"""),"1-1.5""")</f>
        <v>1-1.5"</v>
      </c>
      <c r="F147" s="61" t="str">
        <f ca="1">IFERROR(__xludf.DUMMYFUNCTION("""COMPUTED_VALUE"""),"8-10'")</f>
        <v>8-10'</v>
      </c>
      <c r="G147" s="62">
        <f ca="1">IFERROR(__xludf.DUMMYFUNCTION("""COMPUTED_VALUE"""),8)</f>
        <v>8</v>
      </c>
      <c r="H147" s="63">
        <f ca="1">IFERROR(__xludf.DUMMYFUNCTION("""COMPUTED_VALUE"""),135)</f>
        <v>135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IFERROR(__xludf.DUMMYFUNCTION("""COMPUTED_VALUE"""),"Prunus americana")</f>
        <v>Prunus americana</v>
      </c>
      <c r="B148" s="61">
        <f ca="1">IFERROR(__xludf.DUMMYFUNCTION("""COMPUTED_VALUE"""),5)</f>
        <v>5</v>
      </c>
      <c r="C148" s="61" t="str">
        <f ca="1">IFERROR(__xludf.DUMMYFUNCTION("""COMPUTED_VALUE"""),"American Plum")</f>
        <v>American Plum</v>
      </c>
      <c r="D148" s="61" t="str">
        <f ca="1">IFERROR(__xludf.DUMMYFUNCTION("""COMPUTED_VALUE"""),"#5")</f>
        <v>#5</v>
      </c>
      <c r="E148" s="61" t="str">
        <f ca="1">IFERROR(__xludf.DUMMYFUNCTION("""COMPUTED_VALUE"""),"0.25-0.75""")</f>
        <v>0.25-0.75"</v>
      </c>
      <c r="F148" s="61" t="str">
        <f ca="1">IFERROR(__xludf.DUMMYFUNCTION("""COMPUTED_VALUE"""),"4-5'")</f>
        <v>4-5'</v>
      </c>
      <c r="G148" s="62">
        <f ca="1">IFERROR(__xludf.DUMMYFUNCTION("""COMPUTED_VALUE"""),23)</f>
        <v>23</v>
      </c>
      <c r="H148" s="63">
        <f ca="1">IFERROR(__xludf.DUMMYFUNCTION("""COMPUTED_VALUE"""),50)</f>
        <v>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IFERROR(__xludf.DUMMYFUNCTION("""COMPUTED_VALUE"""),"Prunus cerasifera 'Thundercloud'")</f>
        <v>Prunus cerasifera 'Thundercloud'</v>
      </c>
      <c r="B149" s="61">
        <f ca="1">IFERROR(__xludf.DUMMYFUNCTION("""COMPUTED_VALUE"""),15)</f>
        <v>15</v>
      </c>
      <c r="C149" s="61" t="str">
        <f ca="1">IFERROR(__xludf.DUMMYFUNCTION("""COMPUTED_VALUE"""),"Thundercloud Plum")</f>
        <v>Thundercloud Plum</v>
      </c>
      <c r="D149" s="61" t="str">
        <f ca="1">IFERROR(__xludf.DUMMYFUNCTION("""COMPUTED_VALUE"""),"#15")</f>
        <v>#15</v>
      </c>
      <c r="E149" s="61" t="str">
        <f ca="1">IFERROR(__xludf.DUMMYFUNCTION("""COMPUTED_VALUE"""),"1.5-1.5""")</f>
        <v>1.5-1.5"</v>
      </c>
      <c r="F149" s="61" t="str">
        <f ca="1">IFERROR(__xludf.DUMMYFUNCTION("""COMPUTED_VALUE"""),"10-11'")</f>
        <v>10-11'</v>
      </c>
      <c r="G149" s="62">
        <f ca="1">IFERROR(__xludf.DUMMYFUNCTION("""COMPUTED_VALUE"""),9)</f>
        <v>9</v>
      </c>
      <c r="H149" s="63">
        <f ca="1">IFERROR(__xludf.DUMMYFUNCTION("""COMPUTED_VALUE"""),135)</f>
        <v>135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IFERROR(__xludf.DUMMYFUNCTION("""COMPUTED_VALUE"""),"Prunus maritima")</f>
        <v>Prunus maritima</v>
      </c>
      <c r="B150" s="61">
        <f ca="1">IFERROR(__xludf.DUMMYFUNCTION("""COMPUTED_VALUE"""),5)</f>
        <v>5</v>
      </c>
      <c r="C150" s="61" t="str">
        <f ca="1">IFERROR(__xludf.DUMMYFUNCTION("""COMPUTED_VALUE"""),"Beach Plum")</f>
        <v>Beach Plum</v>
      </c>
      <c r="D150" s="61" t="str">
        <f ca="1">IFERROR(__xludf.DUMMYFUNCTION("""COMPUTED_VALUE"""),"#5")</f>
        <v>#5</v>
      </c>
      <c r="E150" s="61" t="str">
        <f ca="1">IFERROR(__xludf.DUMMYFUNCTION("""COMPUTED_VALUE"""),"0.75-0.75""")</f>
        <v>0.75-0.75"</v>
      </c>
      <c r="F150" s="61" t="str">
        <f ca="1">IFERROR(__xludf.DUMMYFUNCTION("""COMPUTED_VALUE"""),"5-7'")</f>
        <v>5-7'</v>
      </c>
      <c r="G150" s="62">
        <f ca="1">IFERROR(__xludf.DUMMYFUNCTION("""COMPUTED_VALUE"""),11)</f>
        <v>11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IFERROR(__xludf.DUMMYFUNCTION("""COMPUTED_VALUE"""),"Prunus serrulata 'Kwanzan'")</f>
        <v>Prunus serrulata 'Kwanzan'</v>
      </c>
      <c r="B151" s="61">
        <f ca="1">IFERROR(__xludf.DUMMYFUNCTION("""COMPUTED_VALUE"""),5)</f>
        <v>5</v>
      </c>
      <c r="C151" s="61" t="str">
        <f ca="1">IFERROR(__xludf.DUMMYFUNCTION("""COMPUTED_VALUE"""),"Kwanzan Cherry")</f>
        <v>Kwanzan Cherry</v>
      </c>
      <c r="D151" s="61" t="str">
        <f ca="1">IFERROR(__xludf.DUMMYFUNCTION("""COMPUTED_VALUE"""),"#5")</f>
        <v>#5</v>
      </c>
      <c r="E151" s="61" t="str">
        <f ca="1">IFERROR(__xludf.DUMMYFUNCTION("""COMPUTED_VALUE"""),"0.5-1""")</f>
        <v>0.5-1"</v>
      </c>
      <c r="F151" s="61" t="str">
        <f ca="1">IFERROR(__xludf.DUMMYFUNCTION("""COMPUTED_VALUE"""),"3-7'")</f>
        <v>3-7'</v>
      </c>
      <c r="G151" s="62">
        <f ca="1">IFERROR(__xludf.DUMMYFUNCTION("""COMPUTED_VALUE"""),17)</f>
        <v>17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IFERROR(__xludf.DUMMYFUNCTION("""COMPUTED_VALUE"""),"Prunus serrulata 'Kwanzan'")</f>
        <v>Prunus serrulata 'Kwanzan'</v>
      </c>
      <c r="B152" s="61">
        <f ca="1">IFERROR(__xludf.DUMMYFUNCTION("""COMPUTED_VALUE"""),10)</f>
        <v>10</v>
      </c>
      <c r="C152" s="61" t="str">
        <f ca="1">IFERROR(__xludf.DUMMYFUNCTION("""COMPUTED_VALUE"""),"Kwanzan Cherry")</f>
        <v>Kwanzan Cherry</v>
      </c>
      <c r="D152" s="61" t="str">
        <f ca="1">IFERROR(__xludf.DUMMYFUNCTION("""COMPUTED_VALUE"""),"#10")</f>
        <v>#10</v>
      </c>
      <c r="E152" s="61" t="str">
        <f ca="1">IFERROR(__xludf.DUMMYFUNCTION("""COMPUTED_VALUE"""),"0.75-1.75""")</f>
        <v>0.75-1.75"</v>
      </c>
      <c r="F152" s="61" t="str">
        <f ca="1">IFERROR(__xludf.DUMMYFUNCTION("""COMPUTED_VALUE"""),"7-10'")</f>
        <v>7-10'</v>
      </c>
      <c r="G152" s="62">
        <f ca="1">IFERROR(__xludf.DUMMYFUNCTION("""COMPUTED_VALUE"""),22)</f>
        <v>22</v>
      </c>
      <c r="H152" s="63">
        <f ca="1">IFERROR(__xludf.DUMMYFUNCTION("""COMPUTED_VALUE"""),100)</f>
        <v>100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IFERROR(__xludf.DUMMYFUNCTION("""COMPUTED_VALUE"""),"Prunus serrulata 'Kwanzan'")</f>
        <v>Prunus serrulata 'Kwanzan'</v>
      </c>
      <c r="B153" s="61">
        <f ca="1">IFERROR(__xludf.DUMMYFUNCTION("""COMPUTED_VALUE"""),15)</f>
        <v>15</v>
      </c>
      <c r="C153" s="61" t="str">
        <f ca="1">IFERROR(__xludf.DUMMYFUNCTION("""COMPUTED_VALUE"""),"Kwanzan Cherry")</f>
        <v>Kwanzan Cherry</v>
      </c>
      <c r="D153" s="61" t="str">
        <f ca="1">IFERROR(__xludf.DUMMYFUNCTION("""COMPUTED_VALUE"""),"#15")</f>
        <v>#15</v>
      </c>
      <c r="E153" s="61" t="str">
        <f ca="1">IFERROR(__xludf.DUMMYFUNCTION("""COMPUTED_VALUE"""),"1.25-1.25""")</f>
        <v>1.25-1.25"</v>
      </c>
      <c r="F153" s="61" t="str">
        <f ca="1">IFERROR(__xludf.DUMMYFUNCTION("""COMPUTED_VALUE"""),"9-10'")</f>
        <v>9-10'</v>
      </c>
      <c r="G153" s="62">
        <f ca="1">IFERROR(__xludf.DUMMYFUNCTION("""COMPUTED_VALUE"""),2)</f>
        <v>2</v>
      </c>
      <c r="H153" s="63">
        <f ca="1">IFERROR(__xludf.DUMMYFUNCTION("""COMPUTED_VALUE"""),135)</f>
        <v>135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IFERROR(__xludf.DUMMYFUNCTION("""COMPUTED_VALUE"""),"Prunus subhirtella 'Snow Fountains'")</f>
        <v>Prunus subhirtella 'Snow Fountains'</v>
      </c>
      <c r="B154" s="61">
        <f ca="1">IFERROR(__xludf.DUMMYFUNCTION("""COMPUTED_VALUE"""),15)</f>
        <v>15</v>
      </c>
      <c r="C154" s="61" t="str">
        <f ca="1">IFERROR(__xludf.DUMMYFUNCTION("""COMPUTED_VALUE"""),"Snow Fountains Cherry")</f>
        <v>Snow Fountains Cherry</v>
      </c>
      <c r="D154" s="61" t="str">
        <f ca="1">IFERROR(__xludf.DUMMYFUNCTION("""COMPUTED_VALUE"""),"#15")</f>
        <v>#15</v>
      </c>
      <c r="E154" s="61" t="str">
        <f ca="1">IFERROR(__xludf.DUMMYFUNCTION("""COMPUTED_VALUE"""),"1.25-2""")</f>
        <v>1.25-2"</v>
      </c>
      <c r="F154" s="61" t="str">
        <f ca="1">IFERROR(__xludf.DUMMYFUNCTION("""COMPUTED_VALUE"""),"6-8'")</f>
        <v>6-8'</v>
      </c>
      <c r="G154" s="62">
        <f ca="1">IFERROR(__xludf.DUMMYFUNCTION("""COMPUTED_VALUE"""),22)</f>
        <v>22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IFERROR(__xludf.DUMMYFUNCTION("""COMPUTED_VALUE"""),"Prunus subhirtella 'Snow Fountains'")</f>
        <v>Prunus subhirtella 'Snow Fountains'</v>
      </c>
      <c r="B155" s="61">
        <f ca="1">IFERROR(__xludf.DUMMYFUNCTION("""COMPUTED_VALUE"""),25)</f>
        <v>25</v>
      </c>
      <c r="C155" s="61" t="str">
        <f ca="1">IFERROR(__xludf.DUMMYFUNCTION("""COMPUTED_VALUE"""),"Snow Fountains Cherry")</f>
        <v>Snow Fountains Cherry</v>
      </c>
      <c r="D155" s="61" t="str">
        <f ca="1">IFERROR(__xludf.DUMMYFUNCTION("""COMPUTED_VALUE"""),"#25")</f>
        <v>#25</v>
      </c>
      <c r="E155" s="61" t="str">
        <f ca="1">IFERROR(__xludf.DUMMYFUNCTION("""COMPUTED_VALUE"""),"2.25-2.5""")</f>
        <v>2.25-2.5"</v>
      </c>
      <c r="F155" s="61" t="str">
        <f ca="1">IFERROR(__xludf.DUMMYFUNCTION("""COMPUTED_VALUE"""),"7-8'")</f>
        <v>7-8'</v>
      </c>
      <c r="G155" s="62">
        <f ca="1">IFERROR(__xludf.DUMMYFUNCTION("""COMPUTED_VALUE"""),3)</f>
        <v>3</v>
      </c>
      <c r="H155" s="63">
        <f ca="1">IFERROR(__xludf.DUMMYFUNCTION("""COMPUTED_VALUE"""),150)</f>
        <v>150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IFERROR(__xludf.DUMMYFUNCTION("""COMPUTED_VALUE"""),"Prunus subhirtella ""Pendula plena rosea""")</f>
        <v>Prunus subhirtella "Pendula plena rosea"</v>
      </c>
      <c r="B156" s="61">
        <f ca="1">IFERROR(__xludf.DUMMYFUNCTION("""COMPUTED_VALUE"""),15)</f>
        <v>15</v>
      </c>
      <c r="C156" s="61" t="str">
        <f ca="1">IFERROR(__xludf.DUMMYFUNCTION("""COMPUTED_VALUE"""),"Double Pink Weeping Cherry")</f>
        <v>Double Pink Weeping Cherry</v>
      </c>
      <c r="D156" s="61" t="str">
        <f ca="1">IFERROR(__xludf.DUMMYFUNCTION("""COMPUTED_VALUE"""),"#15")</f>
        <v>#15</v>
      </c>
      <c r="E156" s="61" t="str">
        <f ca="1">IFERROR(__xludf.DUMMYFUNCTION("""COMPUTED_VALUE"""),"1.5-1.75""")</f>
        <v>1.5-1.75"</v>
      </c>
      <c r="F156" s="61" t="str">
        <f ca="1">IFERROR(__xludf.DUMMYFUNCTION("""COMPUTED_VALUE"""),"7-8'")</f>
        <v>7-8'</v>
      </c>
      <c r="G156" s="62">
        <f ca="1">IFERROR(__xludf.DUMMYFUNCTION("""COMPUTED_VALUE"""),5)</f>
        <v>5</v>
      </c>
      <c r="H156" s="63">
        <f ca="1">IFERROR(__xludf.DUMMYFUNCTION("""COMPUTED_VALUE"""),135)</f>
        <v>135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IFERROR(__xludf.DUMMYFUNCTION("""COMPUTED_VALUE"""),"Prunus virginiana 'Shubert Select'")</f>
        <v>Prunus virginiana 'Shubert Select'</v>
      </c>
      <c r="B157" s="61">
        <f ca="1">IFERROR(__xludf.DUMMYFUNCTION("""COMPUTED_VALUE"""),15)</f>
        <v>15</v>
      </c>
      <c r="C157" s="61" t="str">
        <f ca="1">IFERROR(__xludf.DUMMYFUNCTION("""COMPUTED_VALUE"""),"Canada Red Select Cherry")</f>
        <v>Canada Red Select Cherry</v>
      </c>
      <c r="D157" s="61" t="str">
        <f ca="1">IFERROR(__xludf.DUMMYFUNCTION("""COMPUTED_VALUE"""),"#15")</f>
        <v>#15</v>
      </c>
      <c r="E157" s="61" t="str">
        <f ca="1">IFERROR(__xludf.DUMMYFUNCTION("""COMPUTED_VALUE"""),"1.25-1.25""")</f>
        <v>1.25-1.25"</v>
      </c>
      <c r="F157" s="61" t="str">
        <f ca="1">IFERROR(__xludf.DUMMYFUNCTION("""COMPUTED_VALUE"""),"12-12.5'")</f>
        <v>12-12.5'</v>
      </c>
      <c r="G157" s="62">
        <f ca="1">IFERROR(__xludf.DUMMYFUNCTION("""COMPUTED_VALUE"""),1)</f>
        <v>1</v>
      </c>
      <c r="H157" s="63">
        <f ca="1">IFERROR(__xludf.DUMMYFUNCTION("""COMPUTED_VALUE"""),135)</f>
        <v>135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IFERROR(__xludf.DUMMYFUNCTION("""COMPUTED_VALUE"""),"Quercus")</f>
        <v>Quercus</v>
      </c>
      <c r="B158" s="61">
        <f ca="1">IFERROR(__xludf.DUMMYFUNCTION("""COMPUTED_VALUE"""),5)</f>
        <v>5</v>
      </c>
      <c r="C158" s="61" t="str">
        <f ca="1">IFERROR(__xludf.DUMMYFUNCTION("""COMPUTED_VALUE"""),"Mystery Oak (Red Oak Family) ")</f>
        <v xml:space="preserve">Mystery Oak (Red Oak Family) </v>
      </c>
      <c r="D158" s="61" t="str">
        <f ca="1">IFERROR(__xludf.DUMMYFUNCTION("""COMPUTED_VALUE"""),"#5")</f>
        <v>#5</v>
      </c>
      <c r="E158" s="61" t="str">
        <f ca="1">IFERROR(__xludf.DUMMYFUNCTION("""COMPUTED_VALUE"""),"1-1.25""")</f>
        <v>1-1.25"</v>
      </c>
      <c r="F158" s="61" t="str">
        <f ca="1">IFERROR(__xludf.DUMMYFUNCTION("""COMPUTED_VALUE"""),"6-9'")</f>
        <v>6-9'</v>
      </c>
      <c r="G158" s="62">
        <f ca="1">IFERROR(__xludf.DUMMYFUNCTION("""COMPUTED_VALUE"""),2)</f>
        <v>2</v>
      </c>
      <c r="H158" s="63">
        <f ca="1">IFERROR(__xludf.DUMMYFUNCTION("""COMPUTED_VALUE"""),55)</f>
        <v>55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IFERROR(__xludf.DUMMYFUNCTION("""COMPUTED_VALUE"""),"Quercus")</f>
        <v>Quercus</v>
      </c>
      <c r="B159" s="61">
        <f ca="1">IFERROR(__xludf.DUMMYFUNCTION("""COMPUTED_VALUE"""),7)</f>
        <v>7</v>
      </c>
      <c r="C159" s="61" t="str">
        <f ca="1">IFERROR(__xludf.DUMMYFUNCTION("""COMPUTED_VALUE"""),"Mystery Oak (Red Oak Family) ")</f>
        <v xml:space="preserve">Mystery Oak (Red Oak Family) </v>
      </c>
      <c r="D159" s="61" t="str">
        <f ca="1">IFERROR(__xludf.DUMMYFUNCTION("""COMPUTED_VALUE"""),"#7")</f>
        <v>#7</v>
      </c>
      <c r="E159" s="61" t="str">
        <f ca="1">IFERROR(__xludf.DUMMYFUNCTION("""COMPUTED_VALUE"""),"1-1.25""")</f>
        <v>1-1.25"</v>
      </c>
      <c r="F159" s="61" t="str">
        <f ca="1">IFERROR(__xludf.DUMMYFUNCTION("""COMPUTED_VALUE"""),"8-9'")</f>
        <v>8-9'</v>
      </c>
      <c r="G159" s="62">
        <f ca="1">IFERROR(__xludf.DUMMYFUNCTION("""COMPUTED_VALUE"""),2)</f>
        <v>2</v>
      </c>
      <c r="H159" s="63">
        <f ca="1">IFERROR(__xludf.DUMMYFUNCTION("""COMPUTED_VALUE"""),70)</f>
        <v>70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IFERROR(__xludf.DUMMYFUNCTION("""COMPUTED_VALUE"""),"Quercus 'Kindred Spirit'")</f>
        <v>Quercus 'Kindred Spirit'</v>
      </c>
      <c r="B160" s="61">
        <f ca="1">IFERROR(__xludf.DUMMYFUNCTION("""COMPUTED_VALUE"""),5)</f>
        <v>5</v>
      </c>
      <c r="C160" s="61" t="str">
        <f ca="1">IFERROR(__xludf.DUMMYFUNCTION("""COMPUTED_VALUE"""),"Kindred Spirit Oak")</f>
        <v>Kindred Spirit Oak</v>
      </c>
      <c r="D160" s="61" t="str">
        <f ca="1">IFERROR(__xludf.DUMMYFUNCTION("""COMPUTED_VALUE"""),"#5")</f>
        <v>#5</v>
      </c>
      <c r="E160" s="61" t="str">
        <f ca="1">IFERROR(__xludf.DUMMYFUNCTION("""COMPUTED_VALUE"""),"1.25-1.25""")</f>
        <v>1.25-1.25"</v>
      </c>
      <c r="F160" s="61" t="str">
        <f ca="1">IFERROR(__xludf.DUMMYFUNCTION("""COMPUTED_VALUE"""),"9-9'")</f>
        <v>9-9'</v>
      </c>
      <c r="G160" s="62">
        <f ca="1">IFERROR(__xludf.DUMMYFUNCTION("""COMPUTED_VALUE"""),1)</f>
        <v>1</v>
      </c>
      <c r="H160" s="63">
        <f ca="1">IFERROR(__xludf.DUMMYFUNCTION("""COMPUTED_VALUE"""),70)</f>
        <v>70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IFERROR(__xludf.DUMMYFUNCTION("""COMPUTED_VALUE"""),"Quercus alba")</f>
        <v>Quercus alba</v>
      </c>
      <c r="B161" s="61">
        <f ca="1">IFERROR(__xludf.DUMMYFUNCTION("""COMPUTED_VALUE"""),5)</f>
        <v>5</v>
      </c>
      <c r="C161" s="61" t="str">
        <f ca="1">IFERROR(__xludf.DUMMYFUNCTION("""COMPUTED_VALUE"""),"White Oak")</f>
        <v>White Oak</v>
      </c>
      <c r="D161" s="61" t="str">
        <f ca="1">IFERROR(__xludf.DUMMYFUNCTION("""COMPUTED_VALUE"""),"#5")</f>
        <v>#5</v>
      </c>
      <c r="E161" s="61" t="str">
        <f ca="1">IFERROR(__xludf.DUMMYFUNCTION("""COMPUTED_VALUE"""),"0.5-1""")</f>
        <v>0.5-1"</v>
      </c>
      <c r="F161" s="61" t="str">
        <f ca="1">IFERROR(__xludf.DUMMYFUNCTION("""COMPUTED_VALUE"""),"3-5'")</f>
        <v>3-5'</v>
      </c>
      <c r="G161" s="62">
        <f ca="1">IFERROR(__xludf.DUMMYFUNCTION("""COMPUTED_VALUE"""),39)</f>
        <v>39</v>
      </c>
      <c r="H161" s="63">
        <f ca="1">IFERROR(__xludf.DUMMYFUNCTION("""COMPUTED_VALUE"""),50)</f>
        <v>50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IFERROR(__xludf.DUMMYFUNCTION("""COMPUTED_VALUE"""),"Quercus alba")</f>
        <v>Quercus alba</v>
      </c>
      <c r="B162" s="61">
        <f ca="1">IFERROR(__xludf.DUMMYFUNCTION("""COMPUTED_VALUE"""),7)</f>
        <v>7</v>
      </c>
      <c r="C162" s="61" t="str">
        <f ca="1">IFERROR(__xludf.DUMMYFUNCTION("""COMPUTED_VALUE"""),"White Oak")</f>
        <v>White Oak</v>
      </c>
      <c r="D162" s="61" t="str">
        <f ca="1">IFERROR(__xludf.DUMMYFUNCTION("""COMPUTED_VALUE"""),"#7")</f>
        <v>#7</v>
      </c>
      <c r="E162" s="61" t="str">
        <f ca="1">IFERROR(__xludf.DUMMYFUNCTION("""COMPUTED_VALUE"""),"0.75-1""")</f>
        <v>0.75-1"</v>
      </c>
      <c r="F162" s="61" t="str">
        <f ca="1">IFERROR(__xludf.DUMMYFUNCTION("""COMPUTED_VALUE"""),"6-7'")</f>
        <v>6-7'</v>
      </c>
      <c r="G162" s="62">
        <f ca="1">IFERROR(__xludf.DUMMYFUNCTION("""COMPUTED_VALUE"""),28)</f>
        <v>28</v>
      </c>
      <c r="H162" s="63">
        <f ca="1">IFERROR(__xludf.DUMMYFUNCTION("""COMPUTED_VALUE"""),70)</f>
        <v>70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IFERROR(__xludf.DUMMYFUNCTION("""COMPUTED_VALUE"""),"Quercus alba")</f>
        <v>Quercus alba</v>
      </c>
      <c r="B163" s="61">
        <f ca="1">IFERROR(__xludf.DUMMYFUNCTION("""COMPUTED_VALUE"""),10)</f>
        <v>10</v>
      </c>
      <c r="C163" s="61" t="str">
        <f ca="1">IFERROR(__xludf.DUMMYFUNCTION("""COMPUTED_VALUE"""),"White Oak")</f>
        <v>White Oak</v>
      </c>
      <c r="D163" s="61" t="str">
        <f ca="1">IFERROR(__xludf.DUMMYFUNCTION("""COMPUTED_VALUE"""),"#10")</f>
        <v>#10</v>
      </c>
      <c r="E163" s="61" t="str">
        <f ca="1">IFERROR(__xludf.DUMMYFUNCTION("""COMPUTED_VALUE"""),"0.75-1.25""")</f>
        <v>0.75-1.25"</v>
      </c>
      <c r="F163" s="61" t="str">
        <f ca="1">IFERROR(__xludf.DUMMYFUNCTION("""COMPUTED_VALUE"""),"6-7'")</f>
        <v>6-7'</v>
      </c>
      <c r="G163" s="62">
        <f ca="1">IFERROR(__xludf.DUMMYFUNCTION("""COMPUTED_VALUE"""),11)</f>
        <v>11</v>
      </c>
      <c r="H163" s="63">
        <f ca="1">IFERROR(__xludf.DUMMYFUNCTION("""COMPUTED_VALUE"""),100)</f>
        <v>100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IFERROR(__xludf.DUMMYFUNCTION("""COMPUTED_VALUE"""),"Quercus alba")</f>
        <v>Quercus alba</v>
      </c>
      <c r="B164" s="61">
        <f ca="1">IFERROR(__xludf.DUMMYFUNCTION("""COMPUTED_VALUE"""),15)</f>
        <v>15</v>
      </c>
      <c r="C164" s="61" t="str">
        <f ca="1">IFERROR(__xludf.DUMMYFUNCTION("""COMPUTED_VALUE"""),"White Oak")</f>
        <v>White Oak</v>
      </c>
      <c r="D164" s="61" t="str">
        <f ca="1">IFERROR(__xludf.DUMMYFUNCTION("""COMPUTED_VALUE"""),"#15")</f>
        <v>#15</v>
      </c>
      <c r="E164" s="61" t="str">
        <f ca="1">IFERROR(__xludf.DUMMYFUNCTION("""COMPUTED_VALUE"""),"0.75-1.5""")</f>
        <v>0.75-1.5"</v>
      </c>
      <c r="F164" s="61" t="str">
        <f ca="1">IFERROR(__xludf.DUMMYFUNCTION("""COMPUTED_VALUE"""),"7-11'")</f>
        <v>7-11'</v>
      </c>
      <c r="G164" s="62">
        <f ca="1">IFERROR(__xludf.DUMMYFUNCTION("""COMPUTED_VALUE"""),4)</f>
        <v>4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IFERROR(__xludf.DUMMYFUNCTION("""COMPUTED_VALUE"""),"Quercus bicolor")</f>
        <v>Quercus bicolor</v>
      </c>
      <c r="B165" s="61">
        <f ca="1">IFERROR(__xludf.DUMMYFUNCTION("""COMPUTED_VALUE"""),5)</f>
        <v>5</v>
      </c>
      <c r="C165" s="61" t="str">
        <f ca="1">IFERROR(__xludf.DUMMYFUNCTION("""COMPUTED_VALUE"""),"Swamp White Oak")</f>
        <v>Swamp White Oak</v>
      </c>
      <c r="D165" s="61" t="str">
        <f ca="1">IFERROR(__xludf.DUMMYFUNCTION("""COMPUTED_VALUE"""),"#5")</f>
        <v>#5</v>
      </c>
      <c r="E165" s="61" t="str">
        <f ca="1">IFERROR(__xludf.DUMMYFUNCTION("""COMPUTED_VALUE"""),"0.5-1""")</f>
        <v>0.5-1"</v>
      </c>
      <c r="F165" s="61" t="str">
        <f ca="1">IFERROR(__xludf.DUMMYFUNCTION("""COMPUTED_VALUE"""),"4-8'")</f>
        <v>4-8'</v>
      </c>
      <c r="G165" s="62">
        <f ca="1">IFERROR(__xludf.DUMMYFUNCTION("""COMPUTED_VALUE"""),413)</f>
        <v>413</v>
      </c>
      <c r="H165" s="63">
        <f ca="1">IFERROR(__xludf.DUMMYFUNCTION("""COMPUTED_VALUE"""),50)</f>
        <v>50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IFERROR(__xludf.DUMMYFUNCTION("""COMPUTED_VALUE"""),"Quercus bicolor")</f>
        <v>Quercus bicolor</v>
      </c>
      <c r="B166" s="61">
        <f ca="1">IFERROR(__xludf.DUMMYFUNCTION("""COMPUTED_VALUE"""),10)</f>
        <v>10</v>
      </c>
      <c r="C166" s="61" t="str">
        <f ca="1">IFERROR(__xludf.DUMMYFUNCTION("""COMPUTED_VALUE"""),"Swamp White Oak")</f>
        <v>Swamp White Oak</v>
      </c>
      <c r="D166" s="61" t="str">
        <f ca="1">IFERROR(__xludf.DUMMYFUNCTION("""COMPUTED_VALUE"""),"#10")</f>
        <v>#10</v>
      </c>
      <c r="E166" s="61" t="str">
        <f ca="1">IFERROR(__xludf.DUMMYFUNCTION("""COMPUTED_VALUE"""),"1-1.25""")</f>
        <v>1-1.25"</v>
      </c>
      <c r="F166" s="61" t="str">
        <f ca="1">IFERROR(__xludf.DUMMYFUNCTION("""COMPUTED_VALUE"""),"6-8'")</f>
        <v>6-8'</v>
      </c>
      <c r="G166" s="62">
        <f ca="1">IFERROR(__xludf.DUMMYFUNCTION("""COMPUTED_VALUE"""),43)</f>
        <v>43</v>
      </c>
      <c r="H166" s="63">
        <f ca="1">IFERROR(__xludf.DUMMYFUNCTION("""COMPUTED_VALUE"""),100)</f>
        <v>100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IFERROR(__xludf.DUMMYFUNCTION("""COMPUTED_VALUE"""),"Quercus bicolor")</f>
        <v>Quercus bicolor</v>
      </c>
      <c r="B167" s="61">
        <f ca="1">IFERROR(__xludf.DUMMYFUNCTION("""COMPUTED_VALUE"""),15)</f>
        <v>15</v>
      </c>
      <c r="C167" s="61" t="str">
        <f ca="1">IFERROR(__xludf.DUMMYFUNCTION("""COMPUTED_VALUE"""),"Swamp White Oak")</f>
        <v>Swamp White Oak</v>
      </c>
      <c r="D167" s="61" t="str">
        <f ca="1">IFERROR(__xludf.DUMMYFUNCTION("""COMPUTED_VALUE"""),"#15")</f>
        <v>#15</v>
      </c>
      <c r="E167" s="61" t="str">
        <f ca="1">IFERROR(__xludf.DUMMYFUNCTION("""COMPUTED_VALUE"""),"1.25-1.5""")</f>
        <v>1.25-1.5"</v>
      </c>
      <c r="F167" s="61" t="str">
        <f ca="1">IFERROR(__xludf.DUMMYFUNCTION("""COMPUTED_VALUE"""),"10-12'")</f>
        <v>10-12'</v>
      </c>
      <c r="G167" s="62">
        <f ca="1">IFERROR(__xludf.DUMMYFUNCTION("""COMPUTED_VALUE"""),7)</f>
        <v>7</v>
      </c>
      <c r="H167" s="63">
        <f ca="1">IFERROR(__xludf.DUMMYFUNCTION("""COMPUTED_VALUE"""),135)</f>
        <v>135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IFERROR(__xludf.DUMMYFUNCTION("""COMPUTED_VALUE"""),"Quercus coccinea")</f>
        <v>Quercus coccinea</v>
      </c>
      <c r="B168" s="61">
        <f ca="1">IFERROR(__xludf.DUMMYFUNCTION("""COMPUTED_VALUE"""),5)</f>
        <v>5</v>
      </c>
      <c r="C168" s="61" t="str">
        <f ca="1">IFERROR(__xludf.DUMMYFUNCTION("""COMPUTED_VALUE"""),"Scarlet Oak")</f>
        <v>Scarlet Oak</v>
      </c>
      <c r="D168" s="61" t="str">
        <f ca="1">IFERROR(__xludf.DUMMYFUNCTION("""COMPUTED_VALUE"""),"#5")</f>
        <v>#5</v>
      </c>
      <c r="E168" s="61" t="str">
        <f ca="1">IFERROR(__xludf.DUMMYFUNCTION("""COMPUTED_VALUE"""),"1-1""")</f>
        <v>1-1"</v>
      </c>
      <c r="F168" s="61" t="str">
        <f ca="1">IFERROR(__xludf.DUMMYFUNCTION("""COMPUTED_VALUE"""),"7.5-7.5'")</f>
        <v>7.5-7.5'</v>
      </c>
      <c r="G168" s="62">
        <f ca="1">IFERROR(__xludf.DUMMYFUNCTION("""COMPUTED_VALUE"""),1)</f>
        <v>1</v>
      </c>
      <c r="H168" s="63">
        <f ca="1">IFERROR(__xludf.DUMMYFUNCTION("""COMPUTED_VALUE"""),50)</f>
        <v>50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IFERROR(__xludf.DUMMYFUNCTION("""COMPUTED_VALUE"""),"Quercus hemisphaerica")</f>
        <v>Quercus hemisphaerica</v>
      </c>
      <c r="B169" s="61">
        <f ca="1">IFERROR(__xludf.DUMMYFUNCTION("""COMPUTED_VALUE"""),5)</f>
        <v>5</v>
      </c>
      <c r="C169" s="61" t="str">
        <f ca="1">IFERROR(__xludf.DUMMYFUNCTION("""COMPUTED_VALUE"""),"Laurel Oak")</f>
        <v>Laurel Oak</v>
      </c>
      <c r="D169" s="61" t="str">
        <f ca="1">IFERROR(__xludf.DUMMYFUNCTION("""COMPUTED_VALUE"""),"#5")</f>
        <v>#5</v>
      </c>
      <c r="E169" s="61" t="str">
        <f ca="1">IFERROR(__xludf.DUMMYFUNCTION("""COMPUTED_VALUE"""),"0.5-1""")</f>
        <v>0.5-1"</v>
      </c>
      <c r="F169" s="61" t="str">
        <f ca="1">IFERROR(__xludf.DUMMYFUNCTION("""COMPUTED_VALUE"""),"3.5-6.5'")</f>
        <v>3.5-6.5'</v>
      </c>
      <c r="G169" s="62">
        <f ca="1">IFERROR(__xludf.DUMMYFUNCTION("""COMPUTED_VALUE"""),1)</f>
        <v>1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IFERROR(__xludf.DUMMYFUNCTION("""COMPUTED_VALUE"""),"Quercus imbricaria")</f>
        <v>Quercus imbricaria</v>
      </c>
      <c r="B170" s="61">
        <f ca="1">IFERROR(__xludf.DUMMYFUNCTION("""COMPUTED_VALUE"""),5)</f>
        <v>5</v>
      </c>
      <c r="C170" s="61" t="str">
        <f ca="1">IFERROR(__xludf.DUMMYFUNCTION("""COMPUTED_VALUE"""),"Shingle Oak")</f>
        <v>Shingle Oak</v>
      </c>
      <c r="D170" s="61" t="str">
        <f ca="1">IFERROR(__xludf.DUMMYFUNCTION("""COMPUTED_VALUE"""),"#5")</f>
        <v>#5</v>
      </c>
      <c r="E170" s="61" t="str">
        <f ca="1">IFERROR(__xludf.DUMMYFUNCTION("""COMPUTED_VALUE"""),"0.25-0.75""")</f>
        <v>0.25-0.75"</v>
      </c>
      <c r="F170" s="61" t="str">
        <f ca="1">IFERROR(__xludf.DUMMYFUNCTION("""COMPUTED_VALUE"""),"3-5'")</f>
        <v>3-5'</v>
      </c>
      <c r="G170" s="62">
        <f ca="1">IFERROR(__xludf.DUMMYFUNCTION("""COMPUTED_VALUE"""),5)</f>
        <v>5</v>
      </c>
      <c r="H170" s="63">
        <f ca="1">IFERROR(__xludf.DUMMYFUNCTION("""COMPUTED_VALUE"""),50)</f>
        <v>50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IFERROR(__xludf.DUMMYFUNCTION("""COMPUTED_VALUE"""),"Quercus lyrata")</f>
        <v>Quercus lyrata</v>
      </c>
      <c r="B171" s="61">
        <f ca="1">IFERROR(__xludf.DUMMYFUNCTION("""COMPUTED_VALUE"""),5)</f>
        <v>5</v>
      </c>
      <c r="C171" s="61" t="str">
        <f ca="1">IFERROR(__xludf.DUMMYFUNCTION("""COMPUTED_VALUE"""),"Overcup Oak")</f>
        <v>Overcup Oak</v>
      </c>
      <c r="D171" s="61" t="str">
        <f ca="1">IFERROR(__xludf.DUMMYFUNCTION("""COMPUTED_VALUE"""),"#5")</f>
        <v>#5</v>
      </c>
      <c r="E171" s="61" t="str">
        <f ca="1">IFERROR(__xludf.DUMMYFUNCTION("""COMPUTED_VALUE"""),"0.25-1""")</f>
        <v>0.25-1"</v>
      </c>
      <c r="F171" s="61" t="str">
        <f ca="1">IFERROR(__xludf.DUMMYFUNCTION("""COMPUTED_VALUE"""),"3.5-6.5'")</f>
        <v>3.5-6.5'</v>
      </c>
      <c r="G171" s="62">
        <f ca="1">IFERROR(__xludf.DUMMYFUNCTION("""COMPUTED_VALUE"""),27)</f>
        <v>27</v>
      </c>
      <c r="H171" s="63">
        <f ca="1">IFERROR(__xludf.DUMMYFUNCTION("""COMPUTED_VALUE"""),50)</f>
        <v>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IFERROR(__xludf.DUMMYFUNCTION("""COMPUTED_VALUE"""),"Quercus macrocarpa")</f>
        <v>Quercus macrocarpa</v>
      </c>
      <c r="B172" s="61">
        <f ca="1">IFERROR(__xludf.DUMMYFUNCTION("""COMPUTED_VALUE"""),5)</f>
        <v>5</v>
      </c>
      <c r="C172" s="61" t="str">
        <f ca="1">IFERROR(__xludf.DUMMYFUNCTION("""COMPUTED_VALUE"""),"Bur Oak")</f>
        <v>Bur Oak</v>
      </c>
      <c r="D172" s="61" t="str">
        <f ca="1">IFERROR(__xludf.DUMMYFUNCTION("""COMPUTED_VALUE"""),"#5")</f>
        <v>#5</v>
      </c>
      <c r="E172" s="61" t="str">
        <f ca="1">IFERROR(__xludf.DUMMYFUNCTION("""COMPUTED_VALUE"""),"0.5-1""")</f>
        <v>0.5-1"</v>
      </c>
      <c r="F172" s="61" t="str">
        <f ca="1">IFERROR(__xludf.DUMMYFUNCTION("""COMPUTED_VALUE"""),"4-6'")</f>
        <v>4-6'</v>
      </c>
      <c r="G172" s="62">
        <f ca="1">IFERROR(__xludf.DUMMYFUNCTION("""COMPUTED_VALUE"""),17)</f>
        <v>17</v>
      </c>
      <c r="H172" s="63">
        <f ca="1">IFERROR(__xludf.DUMMYFUNCTION("""COMPUTED_VALUE"""),50)</f>
        <v>50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IFERROR(__xludf.DUMMYFUNCTION("""COMPUTED_VALUE"""),"Quercus macrocarpa")</f>
        <v>Quercus macrocarpa</v>
      </c>
      <c r="B173" s="61">
        <f ca="1">IFERROR(__xludf.DUMMYFUNCTION("""COMPUTED_VALUE"""),10)</f>
        <v>10</v>
      </c>
      <c r="C173" s="61" t="str">
        <f ca="1">IFERROR(__xludf.DUMMYFUNCTION("""COMPUTED_VALUE"""),"Bur Oak")</f>
        <v>Bur Oak</v>
      </c>
      <c r="D173" s="61" t="str">
        <f ca="1">IFERROR(__xludf.DUMMYFUNCTION("""COMPUTED_VALUE"""),"#10")</f>
        <v>#10</v>
      </c>
      <c r="E173" s="61" t="str">
        <f ca="1">IFERROR(__xludf.DUMMYFUNCTION("""COMPUTED_VALUE"""),"0.75-0.75""")</f>
        <v>0.75-0.75"</v>
      </c>
      <c r="F173" s="61" t="str">
        <f ca="1">IFERROR(__xludf.DUMMYFUNCTION("""COMPUTED_VALUE"""),"4.5-5.5'")</f>
        <v>4.5-5.5'</v>
      </c>
      <c r="G173" s="62">
        <f ca="1">IFERROR(__xludf.DUMMYFUNCTION("""COMPUTED_VALUE"""),4)</f>
        <v>4</v>
      </c>
      <c r="H173" s="63">
        <f ca="1">IFERROR(__xludf.DUMMYFUNCTION("""COMPUTED_VALUE"""),100)</f>
        <v>100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IFERROR(__xludf.DUMMYFUNCTION("""COMPUTED_VALUE"""),"Quercus macrocarpa")</f>
        <v>Quercus macrocarpa</v>
      </c>
      <c r="B174" s="61">
        <f ca="1">IFERROR(__xludf.DUMMYFUNCTION("""COMPUTED_VALUE"""),15)</f>
        <v>15</v>
      </c>
      <c r="C174" s="61" t="str">
        <f ca="1">IFERROR(__xludf.DUMMYFUNCTION("""COMPUTED_VALUE"""),"Bur Oak")</f>
        <v>Bur Oak</v>
      </c>
      <c r="D174" s="61" t="str">
        <f ca="1">IFERROR(__xludf.DUMMYFUNCTION("""COMPUTED_VALUE"""),"#15")</f>
        <v>#15</v>
      </c>
      <c r="E174" s="61" t="str">
        <f ca="1">IFERROR(__xludf.DUMMYFUNCTION("""COMPUTED_VALUE"""),"1-1.25""")</f>
        <v>1-1.25"</v>
      </c>
      <c r="F174" s="61" t="str">
        <f ca="1">IFERROR(__xludf.DUMMYFUNCTION("""COMPUTED_VALUE"""),"9-10'")</f>
        <v>9-10'</v>
      </c>
      <c r="G174" s="62">
        <f ca="1">IFERROR(__xludf.DUMMYFUNCTION("""COMPUTED_VALUE"""),7)</f>
        <v>7</v>
      </c>
      <c r="H174" s="63">
        <f ca="1">IFERROR(__xludf.DUMMYFUNCTION("""COMPUTED_VALUE"""),135)</f>
        <v>135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IFERROR(__xludf.DUMMYFUNCTION("""COMPUTED_VALUE"""),"Quercus macrocarpa")</f>
        <v>Quercus macrocarpa</v>
      </c>
      <c r="B175" s="61">
        <f ca="1">IFERROR(__xludf.DUMMYFUNCTION("""COMPUTED_VALUE"""),25)</f>
        <v>25</v>
      </c>
      <c r="C175" s="61" t="str">
        <f ca="1">IFERROR(__xludf.DUMMYFUNCTION("""COMPUTED_VALUE"""),"Bur Oak")</f>
        <v>Bur Oak</v>
      </c>
      <c r="D175" s="61" t="str">
        <f ca="1">IFERROR(__xludf.DUMMYFUNCTION("""COMPUTED_VALUE"""),"#25")</f>
        <v>#25</v>
      </c>
      <c r="E175" s="61" t="str">
        <f ca="1">IFERROR(__xludf.DUMMYFUNCTION("""COMPUTED_VALUE"""),"1.25-1.75""")</f>
        <v>1.25-1.75"</v>
      </c>
      <c r="F175" s="61" t="str">
        <f ca="1">IFERROR(__xludf.DUMMYFUNCTION("""COMPUTED_VALUE"""),"10-14'")</f>
        <v>10-14'</v>
      </c>
      <c r="G175" s="62">
        <f ca="1">IFERROR(__xludf.DUMMYFUNCTION("""COMPUTED_VALUE"""),5)</f>
        <v>5</v>
      </c>
      <c r="H175" s="63">
        <f ca="1">IFERROR(__xludf.DUMMYFUNCTION("""COMPUTED_VALUE"""),150)</f>
        <v>150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IFERROR(__xludf.DUMMYFUNCTION("""COMPUTED_VALUE"""),"Quercus marilandica")</f>
        <v>Quercus marilandica</v>
      </c>
      <c r="B176" s="61">
        <f ca="1">IFERROR(__xludf.DUMMYFUNCTION("""COMPUTED_VALUE"""),5)</f>
        <v>5</v>
      </c>
      <c r="C176" s="61" t="str">
        <f ca="1">IFERROR(__xludf.DUMMYFUNCTION("""COMPUTED_VALUE"""),"Blackjack Oak")</f>
        <v>Blackjack Oak</v>
      </c>
      <c r="D176" s="61" t="str">
        <f ca="1">IFERROR(__xludf.DUMMYFUNCTION("""COMPUTED_VALUE"""),"#5")</f>
        <v>#5</v>
      </c>
      <c r="E176" s="61" t="str">
        <f ca="1">IFERROR(__xludf.DUMMYFUNCTION("""COMPUTED_VALUE"""),"0.25-0.75""")</f>
        <v>0.25-0.75"</v>
      </c>
      <c r="F176" s="61" t="str">
        <f ca="1">IFERROR(__xludf.DUMMYFUNCTION("""COMPUTED_VALUE"""),"3.5-5'")</f>
        <v>3.5-5'</v>
      </c>
      <c r="G176" s="62">
        <f ca="1">IFERROR(__xludf.DUMMYFUNCTION("""COMPUTED_VALUE"""),11)</f>
        <v>11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IFERROR(__xludf.DUMMYFUNCTION("""COMPUTED_VALUE"""),"Quercus muehlenbergii")</f>
        <v>Quercus muehlenbergii</v>
      </c>
      <c r="B177" s="61">
        <f ca="1">IFERROR(__xludf.DUMMYFUNCTION("""COMPUTED_VALUE"""),15)</f>
        <v>15</v>
      </c>
      <c r="C177" s="61" t="str">
        <f ca="1">IFERROR(__xludf.DUMMYFUNCTION("""COMPUTED_VALUE"""),"Chinkapin Oak")</f>
        <v>Chinkapin Oak</v>
      </c>
      <c r="D177" s="61" t="str">
        <f ca="1">IFERROR(__xludf.DUMMYFUNCTION("""COMPUTED_VALUE"""),"#15")</f>
        <v>#15</v>
      </c>
      <c r="E177" s="61" t="str">
        <f ca="1">IFERROR(__xludf.DUMMYFUNCTION("""COMPUTED_VALUE"""),"1-1.75""")</f>
        <v>1-1.75"</v>
      </c>
      <c r="F177" s="61" t="str">
        <f ca="1">IFERROR(__xludf.DUMMYFUNCTION("""COMPUTED_VALUE"""),"7-13'")</f>
        <v>7-13'</v>
      </c>
      <c r="G177" s="62">
        <f ca="1">IFERROR(__xludf.DUMMYFUNCTION("""COMPUTED_VALUE"""),6)</f>
        <v>6</v>
      </c>
      <c r="H177" s="63">
        <f ca="1">IFERROR(__xludf.DUMMYFUNCTION("""COMPUTED_VALUE"""),135)</f>
        <v>135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IFERROR(__xludf.DUMMYFUNCTION("""COMPUTED_VALUE"""),"Quercus palustris")</f>
        <v>Quercus palustris</v>
      </c>
      <c r="B178" s="61">
        <f ca="1">IFERROR(__xludf.DUMMYFUNCTION("""COMPUTED_VALUE"""),5)</f>
        <v>5</v>
      </c>
      <c r="C178" s="61" t="str">
        <f ca="1">IFERROR(__xludf.DUMMYFUNCTION("""COMPUTED_VALUE"""),"Pin Oak")</f>
        <v>Pin Oak</v>
      </c>
      <c r="D178" s="61" t="str">
        <f ca="1">IFERROR(__xludf.DUMMYFUNCTION("""COMPUTED_VALUE"""),"#5")</f>
        <v>#5</v>
      </c>
      <c r="E178" s="61" t="str">
        <f ca="1">IFERROR(__xludf.DUMMYFUNCTION("""COMPUTED_VALUE"""),"0.5-1.5""")</f>
        <v>0.5-1.5"</v>
      </c>
      <c r="F178" s="61" t="str">
        <f ca="1">IFERROR(__xludf.DUMMYFUNCTION("""COMPUTED_VALUE"""),"4-10'")</f>
        <v>4-10'</v>
      </c>
      <c r="G178" s="62">
        <f ca="1">IFERROR(__xludf.DUMMYFUNCTION("""COMPUTED_VALUE"""),17)</f>
        <v>17</v>
      </c>
      <c r="H178" s="63">
        <f ca="1">IFERROR(__xludf.DUMMYFUNCTION("""COMPUTED_VALUE"""),50)</f>
        <v>50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IFERROR(__xludf.DUMMYFUNCTION("""COMPUTED_VALUE"""),"Quercus palustris")</f>
        <v>Quercus palustris</v>
      </c>
      <c r="B179" s="61">
        <f ca="1">IFERROR(__xludf.DUMMYFUNCTION("""COMPUTED_VALUE"""),7)</f>
        <v>7</v>
      </c>
      <c r="C179" s="61" t="str">
        <f ca="1">IFERROR(__xludf.DUMMYFUNCTION("""COMPUTED_VALUE"""),"Pin Oak")</f>
        <v>Pin Oak</v>
      </c>
      <c r="D179" s="61" t="str">
        <f ca="1">IFERROR(__xludf.DUMMYFUNCTION("""COMPUTED_VALUE"""),"#7")</f>
        <v>#7</v>
      </c>
      <c r="E179" s="61" t="str">
        <f ca="1">IFERROR(__xludf.DUMMYFUNCTION("""COMPUTED_VALUE"""),"1-1.75""")</f>
        <v>1-1.75"</v>
      </c>
      <c r="F179" s="61" t="str">
        <f ca="1">IFERROR(__xludf.DUMMYFUNCTION("""COMPUTED_VALUE"""),"7-14'")</f>
        <v>7-14'</v>
      </c>
      <c r="G179" s="62">
        <f ca="1">IFERROR(__xludf.DUMMYFUNCTION("""COMPUTED_VALUE"""),16)</f>
        <v>16</v>
      </c>
      <c r="H179" s="63">
        <f ca="1">IFERROR(__xludf.DUMMYFUNCTION("""COMPUTED_VALUE"""),70)</f>
        <v>70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IFERROR(__xludf.DUMMYFUNCTION("""COMPUTED_VALUE"""),"Quercus palustris")</f>
        <v>Quercus palustris</v>
      </c>
      <c r="B180" s="61">
        <f ca="1">IFERROR(__xludf.DUMMYFUNCTION("""COMPUTED_VALUE"""),10)</f>
        <v>10</v>
      </c>
      <c r="C180" s="61" t="str">
        <f ca="1">IFERROR(__xludf.DUMMYFUNCTION("""COMPUTED_VALUE"""),"Pin Oak")</f>
        <v>Pin Oak</v>
      </c>
      <c r="D180" s="61" t="str">
        <f ca="1">IFERROR(__xludf.DUMMYFUNCTION("""COMPUTED_VALUE"""),"#10")</f>
        <v>#10</v>
      </c>
      <c r="E180" s="61" t="str">
        <f ca="1">IFERROR(__xludf.DUMMYFUNCTION("""COMPUTED_VALUE"""),"1-1.5""")</f>
        <v>1-1.5"</v>
      </c>
      <c r="F180" s="61" t="str">
        <f ca="1">IFERROR(__xludf.DUMMYFUNCTION("""COMPUTED_VALUE"""),"8-9'")</f>
        <v>8-9'</v>
      </c>
      <c r="G180" s="62">
        <f ca="1">IFERROR(__xludf.DUMMYFUNCTION("""COMPUTED_VALUE"""),18)</f>
        <v>18</v>
      </c>
      <c r="H180" s="63">
        <f ca="1">IFERROR(__xludf.DUMMYFUNCTION("""COMPUTED_VALUE"""),100)</f>
        <v>100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IFERROR(__xludf.DUMMYFUNCTION("""COMPUTED_VALUE"""),"Quercus palustris")</f>
        <v>Quercus palustris</v>
      </c>
      <c r="B181" s="61">
        <f ca="1">IFERROR(__xludf.DUMMYFUNCTION("""COMPUTED_VALUE"""),15)</f>
        <v>15</v>
      </c>
      <c r="C181" s="61" t="str">
        <f ca="1">IFERROR(__xludf.DUMMYFUNCTION("""COMPUTED_VALUE"""),"Pin Oak")</f>
        <v>Pin Oak</v>
      </c>
      <c r="D181" s="61" t="str">
        <f ca="1">IFERROR(__xludf.DUMMYFUNCTION("""COMPUTED_VALUE"""),"#15")</f>
        <v>#15</v>
      </c>
      <c r="E181" s="61" t="str">
        <f ca="1">IFERROR(__xludf.DUMMYFUNCTION("""COMPUTED_VALUE"""),"1.25-1.5""")</f>
        <v>1.25-1.5"</v>
      </c>
      <c r="F181" s="61" t="str">
        <f ca="1">IFERROR(__xludf.DUMMYFUNCTION("""COMPUTED_VALUE"""),"10-11'")</f>
        <v>10-11'</v>
      </c>
      <c r="G181" s="62">
        <f ca="1">IFERROR(__xludf.DUMMYFUNCTION("""COMPUTED_VALUE"""),6)</f>
        <v>6</v>
      </c>
      <c r="H181" s="63">
        <f ca="1">IFERROR(__xludf.DUMMYFUNCTION("""COMPUTED_VALUE"""),135)</f>
        <v>135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 phellos")</f>
        <v>Quercus phellos</v>
      </c>
      <c r="B182" s="61">
        <f ca="1">IFERROR(__xludf.DUMMYFUNCTION("""COMPUTED_VALUE"""),5)</f>
        <v>5</v>
      </c>
      <c r="C182" s="61" t="str">
        <f ca="1">IFERROR(__xludf.DUMMYFUNCTION("""COMPUTED_VALUE"""),"Willow Oak")</f>
        <v>Willow Oak</v>
      </c>
      <c r="D182" s="61" t="str">
        <f ca="1">IFERROR(__xludf.DUMMYFUNCTION("""COMPUTED_VALUE"""),"#5")</f>
        <v>#5</v>
      </c>
      <c r="E182" s="61" t="str">
        <f ca="1">IFERROR(__xludf.DUMMYFUNCTION("""COMPUTED_VALUE"""),"0.5-1""")</f>
        <v>0.5-1"</v>
      </c>
      <c r="F182" s="61" t="str">
        <f ca="1">IFERROR(__xludf.DUMMYFUNCTION("""COMPUTED_VALUE"""),"3-7'")</f>
        <v>3-7'</v>
      </c>
      <c r="G182" s="62">
        <f ca="1">IFERROR(__xludf.DUMMYFUNCTION("""COMPUTED_VALUE"""),125)</f>
        <v>125</v>
      </c>
      <c r="H182" s="63">
        <f ca="1">IFERROR(__xludf.DUMMYFUNCTION("""COMPUTED_VALUE"""),50)</f>
        <v>50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phellos")</f>
        <v>Quercus phellos</v>
      </c>
      <c r="B183" s="61">
        <f ca="1">IFERROR(__xludf.DUMMYFUNCTION("""COMPUTED_VALUE"""),7)</f>
        <v>7</v>
      </c>
      <c r="C183" s="61" t="str">
        <f ca="1">IFERROR(__xludf.DUMMYFUNCTION("""COMPUTED_VALUE"""),"Willow Oak")</f>
        <v>Willow Oak</v>
      </c>
      <c r="D183" s="61" t="str">
        <f ca="1">IFERROR(__xludf.DUMMYFUNCTION("""COMPUTED_VALUE"""),"#7")</f>
        <v>#7</v>
      </c>
      <c r="E183" s="61" t="str">
        <f ca="1">IFERROR(__xludf.DUMMYFUNCTION("""COMPUTED_VALUE"""),"0.75-1""")</f>
        <v>0.75-1"</v>
      </c>
      <c r="F183" s="61" t="str">
        <f ca="1">IFERROR(__xludf.DUMMYFUNCTION("""COMPUTED_VALUE"""),"6-7'")</f>
        <v>6-7'</v>
      </c>
      <c r="G183" s="62">
        <f ca="1">IFERROR(__xludf.DUMMYFUNCTION("""COMPUTED_VALUE"""),5)</f>
        <v>5</v>
      </c>
      <c r="H183" s="63">
        <f ca="1">IFERROR(__xludf.DUMMYFUNCTION("""COMPUTED_VALUE"""),70)</f>
        <v>70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phellos")</f>
        <v>Quercus phellos</v>
      </c>
      <c r="B184" s="61">
        <f ca="1">IFERROR(__xludf.DUMMYFUNCTION("""COMPUTED_VALUE"""),15)</f>
        <v>15</v>
      </c>
      <c r="C184" s="61" t="str">
        <f ca="1">IFERROR(__xludf.DUMMYFUNCTION("""COMPUTED_VALUE"""),"Willow Oak")</f>
        <v>Willow Oak</v>
      </c>
      <c r="D184" s="61" t="str">
        <f ca="1">IFERROR(__xludf.DUMMYFUNCTION("""COMPUTED_VALUE"""),"#15")</f>
        <v>#15</v>
      </c>
      <c r="E184" s="61" t="str">
        <f ca="1">IFERROR(__xludf.DUMMYFUNCTION("""COMPUTED_VALUE"""),"0.75-1""")</f>
        <v>0.75-1"</v>
      </c>
      <c r="F184" s="61" t="str">
        <f ca="1">IFERROR(__xludf.DUMMYFUNCTION("""COMPUTED_VALUE"""),"3-6'")</f>
        <v>3-6'</v>
      </c>
      <c r="G184" s="62">
        <f ca="1">IFERROR(__xludf.DUMMYFUNCTION("""COMPUTED_VALUE"""),2)</f>
        <v>2</v>
      </c>
      <c r="H184" s="63">
        <f ca="1">IFERROR(__xludf.DUMMYFUNCTION("""COMPUTED_VALUE"""),135)</f>
        <v>135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prinus")</f>
        <v>Quercus prinus</v>
      </c>
      <c r="B185" s="61">
        <f ca="1">IFERROR(__xludf.DUMMYFUNCTION("""COMPUTED_VALUE"""),5)</f>
        <v>5</v>
      </c>
      <c r="C185" s="61" t="str">
        <f ca="1">IFERROR(__xludf.DUMMYFUNCTION("""COMPUTED_VALUE"""),"Chestnut Oak")</f>
        <v>Chestnut Oak</v>
      </c>
      <c r="D185" s="61" t="str">
        <f ca="1">IFERROR(__xludf.DUMMYFUNCTION("""COMPUTED_VALUE"""),"#5")</f>
        <v>#5</v>
      </c>
      <c r="E185" s="61" t="str">
        <f ca="1">IFERROR(__xludf.DUMMYFUNCTION("""COMPUTED_VALUE"""),"0.5-0.75""")</f>
        <v>0.5-0.75"</v>
      </c>
      <c r="F185" s="61" t="str">
        <f ca="1">IFERROR(__xludf.DUMMYFUNCTION("""COMPUTED_VALUE"""),"4-6'")</f>
        <v>4-6'</v>
      </c>
      <c r="G185" s="62">
        <f ca="1">IFERROR(__xludf.DUMMYFUNCTION("""COMPUTED_VALUE"""),4)</f>
        <v>4</v>
      </c>
      <c r="H185" s="63">
        <f ca="1">IFERROR(__xludf.DUMMYFUNCTION("""COMPUTED_VALUE"""),50)</f>
        <v>50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rubra")</f>
        <v>Quercus rubra</v>
      </c>
      <c r="B186" s="61">
        <f ca="1">IFERROR(__xludf.DUMMYFUNCTION("""COMPUTED_VALUE"""),5)</f>
        <v>5</v>
      </c>
      <c r="C186" s="61" t="str">
        <f ca="1">IFERROR(__xludf.DUMMYFUNCTION("""COMPUTED_VALUE"""),"Red Oak")</f>
        <v>Red Oak</v>
      </c>
      <c r="D186" s="61" t="str">
        <f ca="1">IFERROR(__xludf.DUMMYFUNCTION("""COMPUTED_VALUE"""),"#5")</f>
        <v>#5</v>
      </c>
      <c r="E186" s="61" t="str">
        <f ca="1">IFERROR(__xludf.DUMMYFUNCTION("""COMPUTED_VALUE"""),"0.5-0.75""")</f>
        <v>0.5-0.75"</v>
      </c>
      <c r="F186" s="61" t="str">
        <f ca="1">IFERROR(__xludf.DUMMYFUNCTION("""COMPUTED_VALUE"""),"3.5-5'")</f>
        <v>3.5-5'</v>
      </c>
      <c r="G186" s="62">
        <f ca="1">IFERROR(__xludf.DUMMYFUNCTION("""COMPUTED_VALUE"""),5)</f>
        <v>5</v>
      </c>
      <c r="H186" s="63">
        <f ca="1">IFERROR(__xludf.DUMMYFUNCTION("""COMPUTED_VALUE"""),50)</f>
        <v>50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rubra")</f>
        <v>Quercus rubra</v>
      </c>
      <c r="B187" s="61">
        <f ca="1">IFERROR(__xludf.DUMMYFUNCTION("""COMPUTED_VALUE"""),10)</f>
        <v>10</v>
      </c>
      <c r="C187" s="61" t="str">
        <f ca="1">IFERROR(__xludf.DUMMYFUNCTION("""COMPUTED_VALUE"""),"Red Oak")</f>
        <v>Red Oak</v>
      </c>
      <c r="D187" s="61" t="str">
        <f ca="1">IFERROR(__xludf.DUMMYFUNCTION("""COMPUTED_VALUE"""),"#10")</f>
        <v>#10</v>
      </c>
      <c r="E187" s="61" t="str">
        <f ca="1">IFERROR(__xludf.DUMMYFUNCTION("""COMPUTED_VALUE"""),"0.75-1""")</f>
        <v>0.75-1"</v>
      </c>
      <c r="F187" s="61" t="str">
        <f ca="1">IFERROR(__xludf.DUMMYFUNCTION("""COMPUTED_VALUE"""),"6-8'")</f>
        <v>6-8'</v>
      </c>
      <c r="G187" s="62">
        <f ca="1">IFERROR(__xludf.DUMMYFUNCTION("""COMPUTED_VALUE"""),9)</f>
        <v>9</v>
      </c>
      <c r="H187" s="63">
        <f ca="1">IFERROR(__xludf.DUMMYFUNCTION("""COMPUTED_VALUE"""),100)</f>
        <v>100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rubra")</f>
        <v>Quercus rubra</v>
      </c>
      <c r="B188" s="61">
        <f ca="1">IFERROR(__xludf.DUMMYFUNCTION("""COMPUTED_VALUE"""),15)</f>
        <v>15</v>
      </c>
      <c r="C188" s="61" t="str">
        <f ca="1">IFERROR(__xludf.DUMMYFUNCTION("""COMPUTED_VALUE"""),"Red Oak")</f>
        <v>Red Oak</v>
      </c>
      <c r="D188" s="61" t="str">
        <f ca="1">IFERROR(__xludf.DUMMYFUNCTION("""COMPUTED_VALUE"""),"#15")</f>
        <v>#15</v>
      </c>
      <c r="E188" s="61" t="str">
        <f ca="1">IFERROR(__xludf.DUMMYFUNCTION("""COMPUTED_VALUE"""),"1-2""")</f>
        <v>1-2"</v>
      </c>
      <c r="F188" s="61" t="str">
        <f ca="1">IFERROR(__xludf.DUMMYFUNCTION("""COMPUTED_VALUE"""),"10-11'")</f>
        <v>10-11'</v>
      </c>
      <c r="G188" s="62">
        <f ca="1">IFERROR(__xludf.DUMMYFUNCTION("""COMPUTED_VALUE"""),4)</f>
        <v>4</v>
      </c>
      <c r="H188" s="63">
        <f ca="1">IFERROR(__xludf.DUMMYFUNCTION("""COMPUTED_VALUE"""),135)</f>
        <v>135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stellata")</f>
        <v>Quercus stellata</v>
      </c>
      <c r="B189" s="61">
        <f ca="1">IFERROR(__xludf.DUMMYFUNCTION("""COMPUTED_VALUE"""),5)</f>
        <v>5</v>
      </c>
      <c r="C189" s="61" t="str">
        <f ca="1">IFERROR(__xludf.DUMMYFUNCTION("""COMPUTED_VALUE"""),"Post Oak")</f>
        <v>Post Oak</v>
      </c>
      <c r="D189" s="61" t="str">
        <f ca="1">IFERROR(__xludf.DUMMYFUNCTION("""COMPUTED_VALUE"""),"#5")</f>
        <v>#5</v>
      </c>
      <c r="E189" s="61" t="str">
        <f ca="1">IFERROR(__xludf.DUMMYFUNCTION("""COMPUTED_VALUE"""),"0.25-0.5""")</f>
        <v>0.25-0.5"</v>
      </c>
      <c r="F189" s="61" t="str">
        <f ca="1">IFERROR(__xludf.DUMMYFUNCTION("""COMPUTED_VALUE"""),"4-6'")</f>
        <v>4-6'</v>
      </c>
      <c r="G189" s="62">
        <f ca="1">IFERROR(__xludf.DUMMYFUNCTION("""COMPUTED_VALUE"""),6)</f>
        <v>6</v>
      </c>
      <c r="H189" s="63">
        <f ca="1">IFERROR(__xludf.DUMMYFUNCTION("""COMPUTED_VALUE"""),55)</f>
        <v>55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x warei 'Regal Prince'")</f>
        <v>Quercus x warei 'Regal Prince'</v>
      </c>
      <c r="B190" s="61">
        <f ca="1">IFERROR(__xludf.DUMMYFUNCTION("""COMPUTED_VALUE"""),5)</f>
        <v>5</v>
      </c>
      <c r="C190" s="61" t="str">
        <f ca="1">IFERROR(__xludf.DUMMYFUNCTION("""COMPUTED_VALUE"""),"Regal Prince Oak")</f>
        <v>Regal Prince Oak</v>
      </c>
      <c r="D190" s="61" t="str">
        <f ca="1">IFERROR(__xludf.DUMMYFUNCTION("""COMPUTED_VALUE"""),"#5")</f>
        <v>#5</v>
      </c>
      <c r="E190" s="61" t="str">
        <f ca="1">IFERROR(__xludf.DUMMYFUNCTION("""COMPUTED_VALUE"""),"1.25-1.5""")</f>
        <v>1.25-1.5"</v>
      </c>
      <c r="F190" s="61" t="str">
        <f ca="1">IFERROR(__xludf.DUMMYFUNCTION("""COMPUTED_VALUE"""),"4-11'")</f>
        <v>4-11'</v>
      </c>
      <c r="G190" s="62">
        <f ca="1">IFERROR(__xludf.DUMMYFUNCTION("""COMPUTED_VALUE"""),3)</f>
        <v>3</v>
      </c>
      <c r="H190" s="63">
        <f ca="1">IFERROR(__xludf.DUMMYFUNCTION("""COMPUTED_VALUE"""),70)</f>
        <v>70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x warei 'Regal Prince'")</f>
        <v>Quercus x warei 'Regal Prince'</v>
      </c>
      <c r="B191" s="61">
        <f ca="1">IFERROR(__xludf.DUMMYFUNCTION("""COMPUTED_VALUE"""),15)</f>
        <v>15</v>
      </c>
      <c r="C191" s="61" t="str">
        <f ca="1">IFERROR(__xludf.DUMMYFUNCTION("""COMPUTED_VALUE"""),"Regal Prince Oak")</f>
        <v>Regal Prince Oak</v>
      </c>
      <c r="D191" s="61" t="str">
        <f ca="1">IFERROR(__xludf.DUMMYFUNCTION("""COMPUTED_VALUE"""),"#15")</f>
        <v>#15</v>
      </c>
      <c r="E191" s="61" t="str">
        <f ca="1">IFERROR(__xludf.DUMMYFUNCTION("""COMPUTED_VALUE"""),"1.5-2""")</f>
        <v>1.5-2"</v>
      </c>
      <c r="F191" s="61" t="str">
        <f ca="1">IFERROR(__xludf.DUMMYFUNCTION("""COMPUTED_VALUE"""),"9-14'")</f>
        <v>9-14'</v>
      </c>
      <c r="G191" s="62">
        <f ca="1">IFERROR(__xludf.DUMMYFUNCTION("""COMPUTED_VALUE"""),9)</f>
        <v>9</v>
      </c>
      <c r="H191" s="63">
        <f ca="1">IFERROR(__xludf.DUMMYFUNCTION("""COMPUTED_VALUE"""),135)</f>
        <v>135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IFERROR(__xludf.DUMMYFUNCTION("""COMPUTED_VALUE"""),"Rhus aromatica")</f>
        <v>Rhus aromatica</v>
      </c>
      <c r="B192" s="61">
        <f ca="1">IFERROR(__xludf.DUMMYFUNCTION("""COMPUTED_VALUE"""),5)</f>
        <v>5</v>
      </c>
      <c r="C192" s="61" t="str">
        <f ca="1">IFERROR(__xludf.DUMMYFUNCTION("""COMPUTED_VALUE"""),"Fragrant Sumac")</f>
        <v>Fragrant Sumac</v>
      </c>
      <c r="D192" s="61" t="str">
        <f ca="1">IFERROR(__xludf.DUMMYFUNCTION("""COMPUTED_VALUE"""),"#5")</f>
        <v>#5</v>
      </c>
      <c r="E192" s="61" t="str">
        <f ca="1">IFERROR(__xludf.DUMMYFUNCTION("""COMPUTED_VALUE"""),"Multi")</f>
        <v>Multi</v>
      </c>
      <c r="F192" s="61" t="str">
        <f ca="1">IFERROR(__xludf.DUMMYFUNCTION("""COMPUTED_VALUE"""),"4-5'")</f>
        <v>4-5'</v>
      </c>
      <c r="G192" s="62">
        <f ca="1">IFERROR(__xludf.DUMMYFUNCTION("""COMPUTED_VALUE"""),12)</f>
        <v>12</v>
      </c>
      <c r="H192" s="63">
        <f ca="1">IFERROR(__xludf.DUMMYFUNCTION("""COMPUTED_VALUE"""),37)</f>
        <v>37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IFERROR(__xludf.DUMMYFUNCTION("""COMPUTED_VALUE"""),"Rhus glabra")</f>
        <v>Rhus glabra</v>
      </c>
      <c r="B193" s="61">
        <f ca="1">IFERROR(__xludf.DUMMYFUNCTION("""COMPUTED_VALUE"""),5)</f>
        <v>5</v>
      </c>
      <c r="C193" s="61" t="str">
        <f ca="1">IFERROR(__xludf.DUMMYFUNCTION("""COMPUTED_VALUE"""),"Smooth Sumac")</f>
        <v>Smooth Sumac</v>
      </c>
      <c r="D193" s="61" t="str">
        <f ca="1">IFERROR(__xludf.DUMMYFUNCTION("""COMPUTED_VALUE"""),"#5")</f>
        <v>#5</v>
      </c>
      <c r="E193" s="61" t="str">
        <f ca="1">IFERROR(__xludf.DUMMYFUNCTION("""COMPUTED_VALUE"""),"0.75-1""")</f>
        <v>0.75-1"</v>
      </c>
      <c r="F193" s="61" t="str">
        <f ca="1">IFERROR(__xludf.DUMMYFUNCTION("""COMPUTED_VALUE"""),"4-8'")</f>
        <v>4-8'</v>
      </c>
      <c r="G193" s="62">
        <f ca="1">IFERROR(__xludf.DUMMYFUNCTION("""COMPUTED_VALUE"""),114)</f>
        <v>114</v>
      </c>
      <c r="H193" s="63">
        <f ca="1">IFERROR(__xludf.DUMMYFUNCTION("""COMPUTED_VALUE"""),50)</f>
        <v>50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IFERROR(__xludf.DUMMYFUNCTION("""COMPUTED_VALUE"""),"Robina pseudoacacia")</f>
        <v>Robina pseudoacacia</v>
      </c>
      <c r="B194" s="61">
        <f ca="1">IFERROR(__xludf.DUMMYFUNCTION("""COMPUTED_VALUE"""),5)</f>
        <v>5</v>
      </c>
      <c r="C194" s="61" t="str">
        <f ca="1">IFERROR(__xludf.DUMMYFUNCTION("""COMPUTED_VALUE"""),"Purple Robe Black Locust")</f>
        <v>Purple Robe Black Locust</v>
      </c>
      <c r="D194" s="61" t="str">
        <f ca="1">IFERROR(__xludf.DUMMYFUNCTION("""COMPUTED_VALUE"""),"#5")</f>
        <v>#5</v>
      </c>
      <c r="E194" s="61" t="str">
        <f ca="1">IFERROR(__xludf.DUMMYFUNCTION("""COMPUTED_VALUE"""),"0.75-1""")</f>
        <v>0.75-1"</v>
      </c>
      <c r="F194" s="61" t="str">
        <f ca="1">IFERROR(__xludf.DUMMYFUNCTION("""COMPUTED_VALUE"""),"6-8'")</f>
        <v>6-8'</v>
      </c>
      <c r="G194" s="62">
        <f ca="1">IFERROR(__xludf.DUMMYFUNCTION("""COMPUTED_VALUE"""),6)</f>
        <v>6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IFERROR(__xludf.DUMMYFUNCTION("""COMPUTED_VALUE"""),"Salix alba ""Tristis""")</f>
        <v>Salix alba "Tristis"</v>
      </c>
      <c r="B195" s="61">
        <f ca="1">IFERROR(__xludf.DUMMYFUNCTION("""COMPUTED_VALUE"""),15)</f>
        <v>15</v>
      </c>
      <c r="C195" s="61" t="str">
        <f ca="1">IFERROR(__xludf.DUMMYFUNCTION("""COMPUTED_VALUE"""),"Niobe Golden Willow")</f>
        <v>Niobe Golden Willow</v>
      </c>
      <c r="D195" s="61" t="str">
        <f ca="1">IFERROR(__xludf.DUMMYFUNCTION("""COMPUTED_VALUE"""),"#15")</f>
        <v>#15</v>
      </c>
      <c r="E195" s="61" t="str">
        <f ca="1">IFERROR(__xludf.DUMMYFUNCTION("""COMPUTED_VALUE"""),"1.5-1.75""")</f>
        <v>1.5-1.75"</v>
      </c>
      <c r="F195" s="61" t="str">
        <f ca="1">IFERROR(__xludf.DUMMYFUNCTION("""COMPUTED_VALUE"""),"10-12'")</f>
        <v>10-12'</v>
      </c>
      <c r="G195" s="62">
        <f ca="1">IFERROR(__xludf.DUMMYFUNCTION("""COMPUTED_VALUE"""),11)</f>
        <v>11</v>
      </c>
      <c r="H195" s="63">
        <f ca="1">IFERROR(__xludf.DUMMYFUNCTION("""COMPUTED_VALUE"""),135)</f>
        <v>135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IFERROR(__xludf.DUMMYFUNCTION("""COMPUTED_VALUE"""),"Salix babylonica")</f>
        <v>Salix babylonica</v>
      </c>
      <c r="B196" s="61">
        <f ca="1">IFERROR(__xludf.DUMMYFUNCTION("""COMPUTED_VALUE"""),5)</f>
        <v>5</v>
      </c>
      <c r="C196" s="61" t="str">
        <f ca="1">IFERROR(__xludf.DUMMYFUNCTION("""COMPUTED_VALUE"""),"Weeping Willow")</f>
        <v>Weeping Willow</v>
      </c>
      <c r="D196" s="61" t="str">
        <f ca="1">IFERROR(__xludf.DUMMYFUNCTION("""COMPUTED_VALUE"""),"#5")</f>
        <v>#5</v>
      </c>
      <c r="E196" s="61" t="str">
        <f ca="1">IFERROR(__xludf.DUMMYFUNCTION("""COMPUTED_VALUE"""),"0.75-1.5""")</f>
        <v>0.75-1.5"</v>
      </c>
      <c r="F196" s="61" t="str">
        <f ca="1">IFERROR(__xludf.DUMMYFUNCTION("""COMPUTED_VALUE"""),"10-14'")</f>
        <v>10-14'</v>
      </c>
      <c r="G196" s="62">
        <f ca="1">IFERROR(__xludf.DUMMYFUNCTION("""COMPUTED_VALUE"""),29)</f>
        <v>29</v>
      </c>
      <c r="H196" s="63">
        <f ca="1">IFERROR(__xludf.DUMMYFUNCTION("""COMPUTED_VALUE"""),50)</f>
        <v>50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IFERROR(__xludf.DUMMYFUNCTION("""COMPUTED_VALUE"""),"Salix babylonica")</f>
        <v>Salix babylonica</v>
      </c>
      <c r="B197" s="61">
        <f ca="1">IFERROR(__xludf.DUMMYFUNCTION("""COMPUTED_VALUE"""),7)</f>
        <v>7</v>
      </c>
      <c r="C197" s="61" t="str">
        <f ca="1">IFERROR(__xludf.DUMMYFUNCTION("""COMPUTED_VALUE"""),"Weeping Willow")</f>
        <v>Weeping Willow</v>
      </c>
      <c r="D197" s="61" t="str">
        <f ca="1">IFERROR(__xludf.DUMMYFUNCTION("""COMPUTED_VALUE"""),"#7")</f>
        <v>#7</v>
      </c>
      <c r="E197" s="61" t="str">
        <f ca="1">IFERROR(__xludf.DUMMYFUNCTION("""COMPUTED_VALUE"""),"1.25-1.75""")</f>
        <v>1.25-1.75"</v>
      </c>
      <c r="F197" s="61" t="str">
        <f ca="1">IFERROR(__xludf.DUMMYFUNCTION("""COMPUTED_VALUE"""),"10-15'")</f>
        <v>10-15'</v>
      </c>
      <c r="G197" s="62">
        <f ca="1">IFERROR(__xludf.DUMMYFUNCTION("""COMPUTED_VALUE"""),59)</f>
        <v>59</v>
      </c>
      <c r="H197" s="63">
        <f ca="1">IFERROR(__xludf.DUMMYFUNCTION("""COMPUTED_VALUE"""),60)</f>
        <v>60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IFERROR(__xludf.DUMMYFUNCTION("""COMPUTED_VALUE"""),"Salix babylonica")</f>
        <v>Salix babylonica</v>
      </c>
      <c r="B198" s="61">
        <f ca="1">IFERROR(__xludf.DUMMYFUNCTION("""COMPUTED_VALUE"""),15)</f>
        <v>15</v>
      </c>
      <c r="C198" s="61" t="str">
        <f ca="1">IFERROR(__xludf.DUMMYFUNCTION("""COMPUTED_VALUE"""),"Weeping Willow")</f>
        <v>Weeping Willow</v>
      </c>
      <c r="D198" s="61" t="str">
        <f ca="1">IFERROR(__xludf.DUMMYFUNCTION("""COMPUTED_VALUE"""),"#15")</f>
        <v>#15</v>
      </c>
      <c r="E198" s="61" t="str">
        <f ca="1">IFERROR(__xludf.DUMMYFUNCTION("""COMPUTED_VALUE"""),"1.75-3""")</f>
        <v>1.75-3"</v>
      </c>
      <c r="F198" s="61" t="str">
        <f ca="1">IFERROR(__xludf.DUMMYFUNCTION("""COMPUTED_VALUE"""),"11-15'")</f>
        <v>11-15'</v>
      </c>
      <c r="G198" s="62">
        <f ca="1">IFERROR(__xludf.DUMMYFUNCTION("""COMPUTED_VALUE"""),5)</f>
        <v>5</v>
      </c>
      <c r="H198" s="63">
        <f ca="1">IFERROR(__xludf.DUMMYFUNCTION("""COMPUTED_VALUE"""),135)</f>
        <v>135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IFERROR(__xludf.DUMMYFUNCTION("""COMPUTED_VALUE"""),"Salix nigra")</f>
        <v>Salix nigra</v>
      </c>
      <c r="B199" s="61">
        <f ca="1">IFERROR(__xludf.DUMMYFUNCTION("""COMPUTED_VALUE"""),5)</f>
        <v>5</v>
      </c>
      <c r="C199" s="61" t="str">
        <f ca="1">IFERROR(__xludf.DUMMYFUNCTION("""COMPUTED_VALUE"""),"Black Willow")</f>
        <v>Black Willow</v>
      </c>
      <c r="D199" s="61" t="str">
        <f ca="1">IFERROR(__xludf.DUMMYFUNCTION("""COMPUTED_VALUE"""),"#5")</f>
        <v>#5</v>
      </c>
      <c r="E199" s="61" t="str">
        <f ca="1">IFERROR(__xludf.DUMMYFUNCTION("""COMPUTED_VALUE"""),"Multi")</f>
        <v>Multi</v>
      </c>
      <c r="F199" s="61" t="str">
        <f ca="1">IFERROR(__xludf.DUMMYFUNCTION("""COMPUTED_VALUE"""),"6-10.5'")</f>
        <v>6-10.5'</v>
      </c>
      <c r="G199" s="62">
        <f ca="1">IFERROR(__xludf.DUMMYFUNCTION("""COMPUTED_VALUE"""),2)</f>
        <v>2</v>
      </c>
      <c r="H199" s="63">
        <f ca="1">IFERROR(__xludf.DUMMYFUNCTION("""COMPUTED_VALUE"""),50)</f>
        <v>50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IFERROR(__xludf.DUMMYFUNCTION("""COMPUTED_VALUE"""),"Salix pentaphyllum")</f>
        <v>Salix pentaphyllum</v>
      </c>
      <c r="B200" s="61">
        <f ca="1">IFERROR(__xludf.DUMMYFUNCTION("""COMPUTED_VALUE"""),15)</f>
        <v>15</v>
      </c>
      <c r="C200" s="61" t="str">
        <f ca="1">IFERROR(__xludf.DUMMYFUNCTION("""COMPUTED_VALUE"""),"Prairie Cascade Willow")</f>
        <v>Prairie Cascade Willow</v>
      </c>
      <c r="D200" s="61" t="str">
        <f ca="1">IFERROR(__xludf.DUMMYFUNCTION("""COMPUTED_VALUE"""),"#15")</f>
        <v>#15</v>
      </c>
      <c r="E200" s="61" t="str">
        <f ca="1">IFERROR(__xludf.DUMMYFUNCTION("""COMPUTED_VALUE"""),"1.25-2.25""")</f>
        <v>1.25-2.25"</v>
      </c>
      <c r="F200" s="61" t="str">
        <f ca="1">IFERROR(__xludf.DUMMYFUNCTION("""COMPUTED_VALUE"""),"10-15'")</f>
        <v>10-15'</v>
      </c>
      <c r="G200" s="62">
        <f ca="1">IFERROR(__xludf.DUMMYFUNCTION("""COMPUTED_VALUE"""),19)</f>
        <v>19</v>
      </c>
      <c r="H200" s="63">
        <f ca="1">IFERROR(__xludf.DUMMYFUNCTION("""COMPUTED_VALUE"""),135)</f>
        <v>135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IFERROR(__xludf.DUMMYFUNCTION("""COMPUTED_VALUE"""),"Salix pentaphyllum")</f>
        <v>Salix pentaphyllum</v>
      </c>
      <c r="B201" s="61">
        <f ca="1">IFERROR(__xludf.DUMMYFUNCTION("""COMPUTED_VALUE"""),25)</f>
        <v>25</v>
      </c>
      <c r="C201" s="61" t="str">
        <f ca="1">IFERROR(__xludf.DUMMYFUNCTION("""COMPUTED_VALUE"""),"Prairie Cascade Willow")</f>
        <v>Prairie Cascade Willow</v>
      </c>
      <c r="D201" s="61" t="str">
        <f ca="1">IFERROR(__xludf.DUMMYFUNCTION("""COMPUTED_VALUE"""),"#25")</f>
        <v>#25</v>
      </c>
      <c r="E201" s="61" t="str">
        <f ca="1">IFERROR(__xludf.DUMMYFUNCTION("""COMPUTED_VALUE"""),"2-2.5""")</f>
        <v>2-2.5"</v>
      </c>
      <c r="F201" s="61" t="str">
        <f ca="1">IFERROR(__xludf.DUMMYFUNCTION("""COMPUTED_VALUE"""),"14-16'")</f>
        <v>14-16'</v>
      </c>
      <c r="G201" s="62">
        <f ca="1">IFERROR(__xludf.DUMMYFUNCTION("""COMPUTED_VALUE"""),3)</f>
        <v>3</v>
      </c>
      <c r="H201" s="63">
        <f ca="1">IFERROR(__xludf.DUMMYFUNCTION("""COMPUTED_VALUE"""),150)</f>
        <v>150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IFERROR(__xludf.DUMMYFUNCTION("""COMPUTED_VALUE"""),"Sambucus canadensis")</f>
        <v>Sambucus canadensis</v>
      </c>
      <c r="B202" s="61">
        <f ca="1">IFERROR(__xludf.DUMMYFUNCTION("""COMPUTED_VALUE"""),5)</f>
        <v>5</v>
      </c>
      <c r="C202" s="61" t="str">
        <f ca="1">IFERROR(__xludf.DUMMYFUNCTION("""COMPUTED_VALUE"""),"Elderberry")</f>
        <v>Elderberry</v>
      </c>
      <c r="D202" s="61" t="str">
        <f ca="1">IFERROR(__xludf.DUMMYFUNCTION("""COMPUTED_VALUE"""),"#5")</f>
        <v>#5</v>
      </c>
      <c r="E202" s="61" t="str">
        <f ca="1">IFERROR(__xludf.DUMMYFUNCTION("""COMPUTED_VALUE"""),"Multi")</f>
        <v>Multi</v>
      </c>
      <c r="F202" s="61" t="str">
        <f ca="1">IFERROR(__xludf.DUMMYFUNCTION("""COMPUTED_VALUE"""),"3-7'")</f>
        <v>3-7'</v>
      </c>
      <c r="G202" s="62">
        <f ca="1">IFERROR(__xludf.DUMMYFUNCTION("""COMPUTED_VALUE"""),81)</f>
        <v>81</v>
      </c>
      <c r="H202" s="63">
        <f ca="1">IFERROR(__xludf.DUMMYFUNCTION("""COMPUTED_VALUE"""),35)</f>
        <v>35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IFERROR(__xludf.DUMMYFUNCTION("""COMPUTED_VALUE"""),"Sambucus canadensis 'Pocahontas'")</f>
        <v>Sambucus canadensis 'Pocahontas'</v>
      </c>
      <c r="B203" s="61">
        <f ca="1">IFERROR(__xludf.DUMMYFUNCTION("""COMPUTED_VALUE"""),5)</f>
        <v>5</v>
      </c>
      <c r="C203" s="61" t="str">
        <f ca="1">IFERROR(__xludf.DUMMYFUNCTION("""COMPUTED_VALUE"""),"Elderberry - Pocahontas")</f>
        <v>Elderberry - Pocahontas</v>
      </c>
      <c r="D203" s="61" t="str">
        <f ca="1">IFERROR(__xludf.DUMMYFUNCTION("""COMPUTED_VALUE"""),"#5")</f>
        <v>#5</v>
      </c>
      <c r="E203" s="61" t="str">
        <f ca="1">IFERROR(__xludf.DUMMYFUNCTION("""COMPUTED_VALUE"""),"Multi")</f>
        <v>Multi</v>
      </c>
      <c r="F203" s="61" t="str">
        <f ca="1">IFERROR(__xludf.DUMMYFUNCTION("""COMPUTED_VALUE"""),"3-4'")</f>
        <v>3-4'</v>
      </c>
      <c r="G203" s="62">
        <f ca="1">IFERROR(__xludf.DUMMYFUNCTION("""COMPUTED_VALUE"""),67)</f>
        <v>67</v>
      </c>
      <c r="H203" s="63">
        <f ca="1">IFERROR(__xludf.DUMMYFUNCTION("""COMPUTED_VALUE"""),35)</f>
        <v>35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IFERROR(__xludf.DUMMYFUNCTION("""COMPUTED_VALUE"""),"Sambucus canadensis 'York'")</f>
        <v>Sambucus canadensis 'York'</v>
      </c>
      <c r="B204" s="61">
        <f ca="1">IFERROR(__xludf.DUMMYFUNCTION("""COMPUTED_VALUE"""),5)</f>
        <v>5</v>
      </c>
      <c r="C204" s="61" t="str">
        <f ca="1">IFERROR(__xludf.DUMMYFUNCTION("""COMPUTED_VALUE"""),"Elderberry - York")</f>
        <v>Elderberry - York</v>
      </c>
      <c r="D204" s="61" t="str">
        <f ca="1">IFERROR(__xludf.DUMMYFUNCTION("""COMPUTED_VALUE"""),"#5")</f>
        <v>#5</v>
      </c>
      <c r="E204" s="61" t="str">
        <f ca="1">IFERROR(__xludf.DUMMYFUNCTION("""COMPUTED_VALUE"""),"Multi")</f>
        <v>Multi</v>
      </c>
      <c r="F204" s="61" t="str">
        <f ca="1">IFERROR(__xludf.DUMMYFUNCTION("""COMPUTED_VALUE"""),"3-5'")</f>
        <v>3-5'</v>
      </c>
      <c r="G204" s="62">
        <f ca="1">IFERROR(__xludf.DUMMYFUNCTION("""COMPUTED_VALUE"""),176)</f>
        <v>176</v>
      </c>
      <c r="H204" s="63">
        <f ca="1">IFERROR(__xludf.DUMMYFUNCTION("""COMPUTED_VALUE"""),35)</f>
        <v>35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IFERROR(__xludf.DUMMYFUNCTION("""COMPUTED_VALUE"""),"Stewartia pseudocamellia")</f>
        <v>Stewartia pseudocamellia</v>
      </c>
      <c r="B205" s="61">
        <f ca="1">IFERROR(__xludf.DUMMYFUNCTION("""COMPUTED_VALUE"""),5)</f>
        <v>5</v>
      </c>
      <c r="C205" s="61" t="str">
        <f ca="1">IFERROR(__xludf.DUMMYFUNCTION("""COMPUTED_VALUE"""),"Japanese Stewartia")</f>
        <v>Japanese Stewartia</v>
      </c>
      <c r="D205" s="61" t="str">
        <f ca="1">IFERROR(__xludf.DUMMYFUNCTION("""COMPUTED_VALUE"""),"#5")</f>
        <v>#5</v>
      </c>
      <c r="E205" s="61" t="str">
        <f ca="1">IFERROR(__xludf.DUMMYFUNCTION("""COMPUTED_VALUE"""),"0.5-1""")</f>
        <v>0.5-1"</v>
      </c>
      <c r="F205" s="61" t="str">
        <f ca="1">IFERROR(__xludf.DUMMYFUNCTION("""COMPUTED_VALUE"""),"4-7.5'")</f>
        <v>4-7.5'</v>
      </c>
      <c r="G205" s="62">
        <f ca="1">IFERROR(__xludf.DUMMYFUNCTION("""COMPUTED_VALUE"""),32)</f>
        <v>32</v>
      </c>
      <c r="H205" s="63">
        <f ca="1">IFERROR(__xludf.DUMMYFUNCTION("""COMPUTED_VALUE"""),70)</f>
        <v>70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IFERROR(__xludf.DUMMYFUNCTION("""COMPUTED_VALUE"""),"Styrax americanus")</f>
        <v>Styrax americanus</v>
      </c>
      <c r="B206" s="61">
        <f ca="1">IFERROR(__xludf.DUMMYFUNCTION("""COMPUTED_VALUE"""),5)</f>
        <v>5</v>
      </c>
      <c r="C206" s="61" t="str">
        <f ca="1">IFERROR(__xludf.DUMMYFUNCTION("""COMPUTED_VALUE"""),"American Snowbell")</f>
        <v>American Snowbell</v>
      </c>
      <c r="D206" s="61" t="str">
        <f ca="1">IFERROR(__xludf.DUMMYFUNCTION("""COMPUTED_VALUE"""),"#5")</f>
        <v>#5</v>
      </c>
      <c r="E206" s="61" t="str">
        <f ca="1">IFERROR(__xludf.DUMMYFUNCTION("""COMPUTED_VALUE"""),"Multi")</f>
        <v>Multi</v>
      </c>
      <c r="F206" s="61" t="str">
        <f ca="1">IFERROR(__xludf.DUMMYFUNCTION("""COMPUTED_VALUE"""),"4-5.5'")</f>
        <v>4-5.5'</v>
      </c>
      <c r="G206" s="62">
        <f ca="1">IFERROR(__xludf.DUMMYFUNCTION("""COMPUTED_VALUE"""),58)</f>
        <v>58</v>
      </c>
      <c r="H206" s="63">
        <f ca="1">IFERROR(__xludf.DUMMYFUNCTION("""COMPUTED_VALUE"""),50)</f>
        <v>50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IFERROR(__xludf.DUMMYFUNCTION("""COMPUTED_VALUE"""),"Styrax japonicus")</f>
        <v>Styrax japonicus</v>
      </c>
      <c r="B207" s="61">
        <f ca="1">IFERROR(__xludf.DUMMYFUNCTION("""COMPUTED_VALUE"""),5)</f>
        <v>5</v>
      </c>
      <c r="C207" s="61" t="str">
        <f ca="1">IFERROR(__xludf.DUMMYFUNCTION("""COMPUTED_VALUE"""),"Japanese Snowbell")</f>
        <v>Japanese Snowbell</v>
      </c>
      <c r="D207" s="61" t="str">
        <f ca="1">IFERROR(__xludf.DUMMYFUNCTION("""COMPUTED_VALUE"""),"#5")</f>
        <v>#5</v>
      </c>
      <c r="E207" s="61" t="str">
        <f ca="1">IFERROR(__xludf.DUMMYFUNCTION("""COMPUTED_VALUE"""),"Multi")</f>
        <v>Multi</v>
      </c>
      <c r="F207" s="61" t="str">
        <f ca="1">IFERROR(__xludf.DUMMYFUNCTION("""COMPUTED_VALUE"""),"9-9'")</f>
        <v>9-9'</v>
      </c>
      <c r="G207" s="62">
        <f ca="1">IFERROR(__xludf.DUMMYFUNCTION("""COMPUTED_VALUE"""),3)</f>
        <v>3</v>
      </c>
      <c r="H207" s="63">
        <f ca="1">IFERROR(__xludf.DUMMYFUNCTION("""COMPUTED_VALUE"""),50)</f>
        <v>50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IFERROR(__xludf.DUMMYFUNCTION("""COMPUTED_VALUE"""),"Syringa vulgaris")</f>
        <v>Syringa vulgaris</v>
      </c>
      <c r="B208" s="61">
        <f ca="1">IFERROR(__xludf.DUMMYFUNCTION("""COMPUTED_VALUE"""),5)</f>
        <v>5</v>
      </c>
      <c r="C208" s="61" t="str">
        <f ca="1">IFERROR(__xludf.DUMMYFUNCTION("""COMPUTED_VALUE"""),"Purple Lilac")</f>
        <v>Purple Lilac</v>
      </c>
      <c r="D208" s="61" t="str">
        <f ca="1">IFERROR(__xludf.DUMMYFUNCTION("""COMPUTED_VALUE"""),"#5")</f>
        <v>#5</v>
      </c>
      <c r="E208" s="61" t="str">
        <f ca="1">IFERROR(__xludf.DUMMYFUNCTION("""COMPUTED_VALUE"""),"Multi")</f>
        <v>Multi</v>
      </c>
      <c r="F208" s="61" t="str">
        <f ca="1">IFERROR(__xludf.DUMMYFUNCTION("""COMPUTED_VALUE"""),"2-7'")</f>
        <v>2-7'</v>
      </c>
      <c r="G208" s="62">
        <f ca="1">IFERROR(__xludf.DUMMYFUNCTION("""COMPUTED_VALUE"""),7)</f>
        <v>7</v>
      </c>
      <c r="H208" s="63">
        <f ca="1">IFERROR(__xludf.DUMMYFUNCTION("""COMPUTED_VALUE"""),37)</f>
        <v>37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IFERROR(__xludf.DUMMYFUNCTION("""COMPUTED_VALUE"""),"Taxodium distichum")</f>
        <v>Taxodium distichum</v>
      </c>
      <c r="B209" s="61">
        <f ca="1">IFERROR(__xludf.DUMMYFUNCTION("""COMPUTED_VALUE"""),5)</f>
        <v>5</v>
      </c>
      <c r="C209" s="61" t="str">
        <f ca="1">IFERROR(__xludf.DUMMYFUNCTION("""COMPUTED_VALUE"""),"Bald Cypress")</f>
        <v>Bald Cypress</v>
      </c>
      <c r="D209" s="61" t="str">
        <f ca="1">IFERROR(__xludf.DUMMYFUNCTION("""COMPUTED_VALUE"""),"#5")</f>
        <v>#5</v>
      </c>
      <c r="E209" s="61" t="str">
        <f ca="1">IFERROR(__xludf.DUMMYFUNCTION("""COMPUTED_VALUE"""),"0.75-1""")</f>
        <v>0.75-1"</v>
      </c>
      <c r="F209" s="61" t="str">
        <f ca="1">IFERROR(__xludf.DUMMYFUNCTION("""COMPUTED_VALUE"""),"4-6'")</f>
        <v>4-6'</v>
      </c>
      <c r="G209" s="62">
        <f ca="1">IFERROR(__xludf.DUMMYFUNCTION("""COMPUTED_VALUE"""),4)</f>
        <v>4</v>
      </c>
      <c r="H209" s="63">
        <f ca="1">IFERROR(__xludf.DUMMYFUNCTION("""COMPUTED_VALUE"""),50)</f>
        <v>50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IFERROR(__xludf.DUMMYFUNCTION("""COMPUTED_VALUE"""),"Taxodium distichum 'Lindsey's Skyward'")</f>
        <v>Taxodium distichum 'Lindsey's Skyward'</v>
      </c>
      <c r="B210" s="61">
        <f ca="1">IFERROR(__xludf.DUMMYFUNCTION("""COMPUTED_VALUE"""),10)</f>
        <v>10</v>
      </c>
      <c r="C210" s="61" t="str">
        <f ca="1">IFERROR(__xludf.DUMMYFUNCTION("""COMPUTED_VALUE"""),"Lindsey's Skyward Bald Cypress")</f>
        <v>Lindsey's Skyward Bald Cypress</v>
      </c>
      <c r="D210" s="61" t="str">
        <f ca="1">IFERROR(__xludf.DUMMYFUNCTION("""COMPUTED_VALUE"""),"#10")</f>
        <v>#10</v>
      </c>
      <c r="E210" s="61" t="str">
        <f ca="1">IFERROR(__xludf.DUMMYFUNCTION("""COMPUTED_VALUE"""),"1.25-1.25""")</f>
        <v>1.25-1.25"</v>
      </c>
      <c r="F210" s="61" t="str">
        <f ca="1">IFERROR(__xludf.DUMMYFUNCTION("""COMPUTED_VALUE"""),"7-8'")</f>
        <v>7-8'</v>
      </c>
      <c r="G210" s="62">
        <f ca="1">IFERROR(__xludf.DUMMYFUNCTION("""COMPUTED_VALUE"""),1)</f>
        <v>1</v>
      </c>
      <c r="H210" s="63">
        <f ca="1">IFERROR(__xludf.DUMMYFUNCTION("""COMPUTED_VALUE"""),100)</f>
        <v>100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IFERROR(__xludf.DUMMYFUNCTION("""COMPUTED_VALUE"""),"Taxodium distichum 'Shawnee Brave'")</f>
        <v>Taxodium distichum 'Shawnee Brave'</v>
      </c>
      <c r="B211" s="61">
        <f ca="1">IFERROR(__xludf.DUMMYFUNCTION("""COMPUTED_VALUE"""),15)</f>
        <v>15</v>
      </c>
      <c r="C211" s="61" t="str">
        <f ca="1">IFERROR(__xludf.DUMMYFUNCTION("""COMPUTED_VALUE"""),"Shawnee Brave Bald Cypress")</f>
        <v>Shawnee Brave Bald Cypress</v>
      </c>
      <c r="D211" s="61" t="str">
        <f ca="1">IFERROR(__xludf.DUMMYFUNCTION("""COMPUTED_VALUE"""),"#15")</f>
        <v>#15</v>
      </c>
      <c r="E211" s="61" t="str">
        <f ca="1">IFERROR(__xludf.DUMMYFUNCTION("""COMPUTED_VALUE"""),"1.25-1.5""")</f>
        <v>1.25-1.5"</v>
      </c>
      <c r="F211" s="61" t="str">
        <f ca="1">IFERROR(__xludf.DUMMYFUNCTION("""COMPUTED_VALUE"""),"6-9'")</f>
        <v>6-9'</v>
      </c>
      <c r="G211" s="62">
        <f ca="1">IFERROR(__xludf.DUMMYFUNCTION("""COMPUTED_VALUE"""),13)</f>
        <v>13</v>
      </c>
      <c r="H211" s="63">
        <f ca="1">IFERROR(__xludf.DUMMYFUNCTION("""COMPUTED_VALUE"""),135)</f>
        <v>135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IFERROR(__xludf.DUMMYFUNCTION("""COMPUTED_VALUE"""),"Tilia americana")</f>
        <v>Tilia americana</v>
      </c>
      <c r="B212" s="61">
        <f ca="1">IFERROR(__xludf.DUMMYFUNCTION("""COMPUTED_VALUE"""),5)</f>
        <v>5</v>
      </c>
      <c r="C212" s="61" t="str">
        <f ca="1">IFERROR(__xludf.DUMMYFUNCTION("""COMPUTED_VALUE"""),"American Linden")</f>
        <v>American Linden</v>
      </c>
      <c r="D212" s="61" t="str">
        <f ca="1">IFERROR(__xludf.DUMMYFUNCTION("""COMPUTED_VALUE"""),"#5")</f>
        <v>#5</v>
      </c>
      <c r="E212" s="61" t="str">
        <f ca="1">IFERROR(__xludf.DUMMYFUNCTION("""COMPUTED_VALUE"""),"0.5-0.75""")</f>
        <v>0.5-0.75"</v>
      </c>
      <c r="F212" s="61" t="str">
        <f ca="1">IFERROR(__xludf.DUMMYFUNCTION("""COMPUTED_VALUE"""),"4-6'")</f>
        <v>4-6'</v>
      </c>
      <c r="G212" s="62">
        <f ca="1">IFERROR(__xludf.DUMMYFUNCTION("""COMPUTED_VALUE"""),85)</f>
        <v>85</v>
      </c>
      <c r="H212" s="63">
        <f ca="1">IFERROR(__xludf.DUMMYFUNCTION("""COMPUTED_VALUE"""),50)</f>
        <v>50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IFERROR(__xludf.DUMMYFUNCTION("""COMPUTED_VALUE"""),"Tilia americana 'American Sentry'")</f>
        <v>Tilia americana 'American Sentry'</v>
      </c>
      <c r="B213" s="61">
        <f ca="1">IFERROR(__xludf.DUMMYFUNCTION("""COMPUTED_VALUE"""),15)</f>
        <v>15</v>
      </c>
      <c r="C213" s="61" t="str">
        <f ca="1">IFERROR(__xludf.DUMMYFUNCTION("""COMPUTED_VALUE"""),"American Sentry Linden")</f>
        <v>American Sentry Linden</v>
      </c>
      <c r="D213" s="61" t="str">
        <f ca="1">IFERROR(__xludf.DUMMYFUNCTION("""COMPUTED_VALUE"""),"#15")</f>
        <v>#15</v>
      </c>
      <c r="E213" s="61" t="str">
        <f ca="1">IFERROR(__xludf.DUMMYFUNCTION("""COMPUTED_VALUE"""),"1-1.75""")</f>
        <v>1-1.75"</v>
      </c>
      <c r="F213" s="61" t="str">
        <f ca="1">IFERROR(__xludf.DUMMYFUNCTION("""COMPUTED_VALUE"""),"10-12'")</f>
        <v>10-12'</v>
      </c>
      <c r="G213" s="62">
        <f ca="1">IFERROR(__xludf.DUMMYFUNCTION("""COMPUTED_VALUE"""),6)</f>
        <v>6</v>
      </c>
      <c r="H213" s="63">
        <f ca="1">IFERROR(__xludf.DUMMYFUNCTION("""COMPUTED_VALUE"""),135)</f>
        <v>135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IFERROR(__xludf.DUMMYFUNCTION("""COMPUTED_VALUE"""),"Tilia cordata")</f>
        <v>Tilia cordata</v>
      </c>
      <c r="B214" s="61">
        <f ca="1">IFERROR(__xludf.DUMMYFUNCTION("""COMPUTED_VALUE"""),5)</f>
        <v>5</v>
      </c>
      <c r="C214" s="61" t="str">
        <f ca="1">IFERROR(__xludf.DUMMYFUNCTION("""COMPUTED_VALUE"""),"Littleleaf Linden")</f>
        <v>Littleleaf Linden</v>
      </c>
      <c r="D214" s="61" t="str">
        <f ca="1">IFERROR(__xludf.DUMMYFUNCTION("""COMPUTED_VALUE"""),"#5")</f>
        <v>#5</v>
      </c>
      <c r="E214" s="61" t="str">
        <f ca="1">IFERROR(__xludf.DUMMYFUNCTION("""COMPUTED_VALUE"""),"0.5-1.75""")</f>
        <v>0.5-1.75"</v>
      </c>
      <c r="F214" s="61" t="str">
        <f ca="1">IFERROR(__xludf.DUMMYFUNCTION("""COMPUTED_VALUE"""),"5-10'")</f>
        <v>5-10'</v>
      </c>
      <c r="G214" s="62">
        <f ca="1">IFERROR(__xludf.DUMMYFUNCTION("""COMPUTED_VALUE"""),35)</f>
        <v>35</v>
      </c>
      <c r="H214" s="63">
        <f ca="1">IFERROR(__xludf.DUMMYFUNCTION("""COMPUTED_VALUE"""),50)</f>
        <v>50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IFERROR(__xludf.DUMMYFUNCTION("""COMPUTED_VALUE"""),"Tilia tomentosa")</f>
        <v>Tilia tomentosa</v>
      </c>
      <c r="B215" s="61">
        <f ca="1">IFERROR(__xludf.DUMMYFUNCTION("""COMPUTED_VALUE"""),5)</f>
        <v>5</v>
      </c>
      <c r="C215" s="61" t="str">
        <f ca="1">IFERROR(__xludf.DUMMYFUNCTION("""COMPUTED_VALUE"""),"Silver Linden")</f>
        <v>Silver Linden</v>
      </c>
      <c r="D215" s="61" t="str">
        <f ca="1">IFERROR(__xludf.DUMMYFUNCTION("""COMPUTED_VALUE"""),"#5")</f>
        <v>#5</v>
      </c>
      <c r="E215" s="61" t="str">
        <f ca="1">IFERROR(__xludf.DUMMYFUNCTION("""COMPUTED_VALUE"""),"0.75-1""")</f>
        <v>0.75-1"</v>
      </c>
      <c r="F215" s="61" t="str">
        <f ca="1">IFERROR(__xludf.DUMMYFUNCTION("""COMPUTED_VALUE"""),"5-7'")</f>
        <v>5-7'</v>
      </c>
      <c r="G215" s="62">
        <f ca="1">IFERROR(__xludf.DUMMYFUNCTION("""COMPUTED_VALUE"""),20)</f>
        <v>20</v>
      </c>
      <c r="H215" s="63">
        <f ca="1">IFERROR(__xludf.DUMMYFUNCTION("""COMPUTED_VALUE"""),50)</f>
        <v>50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IFERROR(__xludf.DUMMYFUNCTION("""COMPUTED_VALUE"""),"Ulmus americana 'Princeton'")</f>
        <v>Ulmus americana 'Princeton'</v>
      </c>
      <c r="B216" s="61">
        <f ca="1">IFERROR(__xludf.DUMMYFUNCTION("""COMPUTED_VALUE"""),5)</f>
        <v>5</v>
      </c>
      <c r="C216" s="61" t="str">
        <f ca="1">IFERROR(__xludf.DUMMYFUNCTION("""COMPUTED_VALUE"""),"Princeton Elm")</f>
        <v>Princeton Elm</v>
      </c>
      <c r="D216" s="61" t="str">
        <f ca="1">IFERROR(__xludf.DUMMYFUNCTION("""COMPUTED_VALUE"""),"#5")</f>
        <v>#5</v>
      </c>
      <c r="E216" s="61" t="str">
        <f ca="1">IFERROR(__xludf.DUMMYFUNCTION("""COMPUTED_VALUE"""),"0.5-1.5""")</f>
        <v>0.5-1.5"</v>
      </c>
      <c r="F216" s="61" t="str">
        <f ca="1">IFERROR(__xludf.DUMMYFUNCTION("""COMPUTED_VALUE"""),"5-14'")</f>
        <v>5-14'</v>
      </c>
      <c r="G216" s="62">
        <f ca="1">IFERROR(__xludf.DUMMYFUNCTION("""COMPUTED_VALUE"""),26)</f>
        <v>26</v>
      </c>
      <c r="H216" s="63">
        <f ca="1">IFERROR(__xludf.DUMMYFUNCTION("""COMPUTED_VALUE"""),50)</f>
        <v>50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IFERROR(__xludf.DUMMYFUNCTION("""COMPUTED_VALUE"""),"Ulmus americana 'Princeton'")</f>
        <v>Ulmus americana 'Princeton'</v>
      </c>
      <c r="B217" s="61">
        <f ca="1">IFERROR(__xludf.DUMMYFUNCTION("""COMPUTED_VALUE"""),15)</f>
        <v>15</v>
      </c>
      <c r="C217" s="61" t="str">
        <f ca="1">IFERROR(__xludf.DUMMYFUNCTION("""COMPUTED_VALUE"""),"Princeton Elm")</f>
        <v>Princeton Elm</v>
      </c>
      <c r="D217" s="61" t="str">
        <f ca="1">IFERROR(__xludf.DUMMYFUNCTION("""COMPUTED_VALUE"""),"#15")</f>
        <v>#15</v>
      </c>
      <c r="E217" s="61" t="str">
        <f ca="1">IFERROR(__xludf.DUMMYFUNCTION("""COMPUTED_VALUE"""),"1-1.25""")</f>
        <v>1-1.25"</v>
      </c>
      <c r="F217" s="61" t="str">
        <f ca="1">IFERROR(__xludf.DUMMYFUNCTION("""COMPUTED_VALUE"""),"9-14'")</f>
        <v>9-14'</v>
      </c>
      <c r="G217" s="62">
        <f ca="1">IFERROR(__xludf.DUMMYFUNCTION("""COMPUTED_VALUE"""),11)</f>
        <v>11</v>
      </c>
      <c r="H217" s="63">
        <f ca="1">IFERROR(__xludf.DUMMYFUNCTION("""COMPUTED_VALUE"""),135)</f>
        <v>135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IFERROR(__xludf.DUMMYFUNCTION("""COMPUTED_VALUE"""),"Viburnum trilobum")</f>
        <v>Viburnum trilobum</v>
      </c>
      <c r="B218" s="61">
        <f ca="1">IFERROR(__xludf.DUMMYFUNCTION("""COMPUTED_VALUE"""),3)</f>
        <v>3</v>
      </c>
      <c r="C218" s="61" t="str">
        <f ca="1">IFERROR(__xludf.DUMMYFUNCTION("""COMPUTED_VALUE"""),"Cranberry Viburnum")</f>
        <v>Cranberry Viburnum</v>
      </c>
      <c r="D218" s="61" t="str">
        <f ca="1">IFERROR(__xludf.DUMMYFUNCTION("""COMPUTED_VALUE"""),"#5")</f>
        <v>#5</v>
      </c>
      <c r="E218" s="61" t="str">
        <f ca="1">IFERROR(__xludf.DUMMYFUNCTION("""COMPUTED_VALUE"""),"Multi")</f>
        <v>Multi</v>
      </c>
      <c r="F218" s="61" t="str">
        <f ca="1">IFERROR(__xludf.DUMMYFUNCTION("""COMPUTED_VALUE"""),"2-4'")</f>
        <v>2-4'</v>
      </c>
      <c r="G218" s="62">
        <f ca="1">IFERROR(__xludf.DUMMYFUNCTION("""COMPUTED_VALUE"""),79)</f>
        <v>79</v>
      </c>
      <c r="H218" s="63">
        <f ca="1">IFERROR(__xludf.DUMMYFUNCTION("""COMPUTED_VALUE"""),37)</f>
        <v>37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IFERROR(__xludf.DUMMYFUNCTION("""COMPUTED_VALUE"""),"Zelkova serrata 'Green Vase'")</f>
        <v>Zelkova serrata 'Green Vase'</v>
      </c>
      <c r="B219" s="61">
        <f ca="1">IFERROR(__xludf.DUMMYFUNCTION("""COMPUTED_VALUE"""),15)</f>
        <v>15</v>
      </c>
      <c r="C219" s="61" t="str">
        <f ca="1">IFERROR(__xludf.DUMMYFUNCTION("""COMPUTED_VALUE"""),"Green Vase Zelkova")</f>
        <v>Green Vase Zelkova</v>
      </c>
      <c r="D219" s="61" t="str">
        <f ca="1">IFERROR(__xludf.DUMMYFUNCTION("""COMPUTED_VALUE"""),"#15")</f>
        <v>#15</v>
      </c>
      <c r="E219" s="61" t="str">
        <f ca="1">IFERROR(__xludf.DUMMYFUNCTION("""COMPUTED_VALUE"""),"1.25-1.75""")</f>
        <v>1.25-1.75"</v>
      </c>
      <c r="F219" s="61" t="str">
        <f ca="1">IFERROR(__xludf.DUMMYFUNCTION("""COMPUTED_VALUE"""),"12-14'")</f>
        <v>12-14'</v>
      </c>
      <c r="G219" s="62">
        <f ca="1">IFERROR(__xludf.DUMMYFUNCTION("""COMPUTED_VALUE"""),17)</f>
        <v>17</v>
      </c>
      <c r="H219" s="63">
        <f ca="1">IFERROR(__xludf.DUMMYFUNCTION("""COMPUTED_VALUE"""),135)</f>
        <v>135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IFERROR(__xludf.DUMMYFUNCTION("""COMPUTED_VALUE"""),"Zelkova serrata 'Green Vase'")</f>
        <v>Zelkova serrata 'Green Vase'</v>
      </c>
      <c r="B220" s="61">
        <f ca="1">IFERROR(__xludf.DUMMYFUNCTION("""COMPUTED_VALUE"""),25)</f>
        <v>25</v>
      </c>
      <c r="C220" s="61" t="str">
        <f ca="1">IFERROR(__xludf.DUMMYFUNCTION("""COMPUTED_VALUE"""),"Green Vase Zelkova")</f>
        <v>Green Vase Zelkova</v>
      </c>
      <c r="D220" s="61" t="str">
        <f ca="1">IFERROR(__xludf.DUMMYFUNCTION("""COMPUTED_VALUE"""),"#25")</f>
        <v>#25</v>
      </c>
      <c r="E220" s="61" t="str">
        <f ca="1">IFERROR(__xludf.DUMMYFUNCTION("""COMPUTED_VALUE"""),"1.75-1.75""")</f>
        <v>1.75-1.75"</v>
      </c>
      <c r="F220" s="61" t="str">
        <f ca="1">IFERROR(__xludf.DUMMYFUNCTION("""COMPUTED_VALUE"""),"16-16'")</f>
        <v>16-16'</v>
      </c>
      <c r="G220" s="62">
        <f ca="1">IFERROR(__xludf.DUMMYFUNCTION("""COMPUTED_VALUE"""),1)</f>
        <v>1</v>
      </c>
      <c r="H220" s="63">
        <f ca="1">IFERROR(__xludf.DUMMYFUNCTION("""COMPUTED_VALUE"""),150)</f>
        <v>150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IFERROR(__xludf.DUMMYFUNCTION("""COMPUTED_VALUE"""),"Zelkova serrata 'Village Green'")</f>
        <v>Zelkova serrata 'Village Green'</v>
      </c>
      <c r="B221" s="61">
        <f ca="1">IFERROR(__xludf.DUMMYFUNCTION("""COMPUTED_VALUE"""),10)</f>
        <v>10</v>
      </c>
      <c r="C221" s="61" t="str">
        <f ca="1">IFERROR(__xludf.DUMMYFUNCTION("""COMPUTED_VALUE"""),"Village Green Zelkova")</f>
        <v>Village Green Zelkova</v>
      </c>
      <c r="D221" s="61" t="str">
        <f ca="1">IFERROR(__xludf.DUMMYFUNCTION("""COMPUTED_VALUE"""),"#10")</f>
        <v>#10</v>
      </c>
      <c r="E221" s="61" t="str">
        <f ca="1">IFERROR(__xludf.DUMMYFUNCTION("""COMPUTED_VALUE"""),"1.5-1.75""")</f>
        <v>1.5-1.75"</v>
      </c>
      <c r="F221" s="61" t="str">
        <f ca="1">IFERROR(__xludf.DUMMYFUNCTION("""COMPUTED_VALUE"""),"11-12'")</f>
        <v>11-12'</v>
      </c>
      <c r="G221" s="62">
        <f ca="1">IFERROR(__xludf.DUMMYFUNCTION("""COMPUTED_VALUE"""),3)</f>
        <v>3</v>
      </c>
      <c r="H221" s="63">
        <f ca="1">IFERROR(__xludf.DUMMYFUNCTION("""COMPUTED_VALUE"""),100)</f>
        <v>100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IFERROR(__xludf.DUMMYFUNCTION("""COMPUTED_VALUE"""),"zx - 1.5""x1.5""x6' Stakes")</f>
        <v>zx - 1.5"x1.5"x6' Stakes</v>
      </c>
      <c r="B222" s="61"/>
      <c r="C222" s="61" t="str">
        <f ca="1">IFERROR(__xludf.DUMMYFUNCTION("""COMPUTED_VALUE"""),"zx - 1.5""x1.5""x6' Stakes")</f>
        <v>zx - 1.5"x1.5"x6' Stakes</v>
      </c>
      <c r="D222" s="61"/>
      <c r="E222" s="61" t="str">
        <f ca="1">IFERROR(__xludf.DUMMYFUNCTION("""COMPUTED_VALUE"""),"0-0""")</f>
        <v>0-0"</v>
      </c>
      <c r="F222" s="61" t="str">
        <f ca="1">IFERROR(__xludf.DUMMYFUNCTION("""COMPUTED_VALUE"""),"0-0'")</f>
        <v>0-0'</v>
      </c>
      <c r="G222" s="62">
        <f ca="1">IFERROR(__xludf.DUMMYFUNCTION("""COMPUTED_VALUE"""),863)</f>
        <v>863</v>
      </c>
      <c r="H222" s="63">
        <f ca="1">IFERROR(__xludf.DUMMYFUNCTION("""COMPUTED_VALUE"""),3)</f>
        <v>3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IFERROR(__xludf.DUMMYFUNCTION("""COMPUTED_VALUE"""),"zx - 4' Bark Protector")</f>
        <v>zx - 4' Bark Protector</v>
      </c>
      <c r="B223" s="61"/>
      <c r="C223" s="61" t="str">
        <f ca="1">IFERROR(__xludf.DUMMYFUNCTION("""COMPUTED_VALUE"""),"zx - 4' Bark Protector")</f>
        <v>zx - 4' Bark Protector</v>
      </c>
      <c r="D223" s="61"/>
      <c r="E223" s="61" t="str">
        <f ca="1">IFERROR(__xludf.DUMMYFUNCTION("""COMPUTED_VALUE"""),"0-0""")</f>
        <v>0-0"</v>
      </c>
      <c r="F223" s="61" t="str">
        <f ca="1">IFERROR(__xludf.DUMMYFUNCTION("""COMPUTED_VALUE"""),"0-0'")</f>
        <v>0-0'</v>
      </c>
      <c r="G223" s="62">
        <f ca="1">IFERROR(__xludf.DUMMYFUNCTION("""COMPUTED_VALUE"""),876)</f>
        <v>876</v>
      </c>
      <c r="H223" s="63">
        <f ca="1">IFERROR(__xludf.DUMMYFUNCTION("""COMPUTED_VALUE"""),10)</f>
        <v>10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IFERROR(__xludf.DUMMYFUNCTION("""COMPUTED_VALUE"""),"zx - Felco #2 Pruners")</f>
        <v>zx - Felco #2 Pruners</v>
      </c>
      <c r="B224" s="61"/>
      <c r="C224" s="61" t="str">
        <f ca="1">IFERROR(__xludf.DUMMYFUNCTION("""COMPUTED_VALUE"""),"zx - Felco #2 Pruners")</f>
        <v>zx - Felco #2 Pruners</v>
      </c>
      <c r="D224" s="61"/>
      <c r="E224" s="61" t="str">
        <f ca="1">IFERROR(__xludf.DUMMYFUNCTION("""COMPUTED_VALUE"""),"0-0""")</f>
        <v>0-0"</v>
      </c>
      <c r="F224" s="61" t="str">
        <f ca="1">IFERROR(__xludf.DUMMYFUNCTION("""COMPUTED_VALUE"""),"0-0'")</f>
        <v>0-0'</v>
      </c>
      <c r="G224" s="62">
        <f ca="1">IFERROR(__xludf.DUMMYFUNCTION("""COMPUTED_VALUE"""),49)</f>
        <v>49</v>
      </c>
      <c r="H224" s="63">
        <f ca="1">IFERROR(__xludf.DUMMYFUNCTION("""COMPUTED_VALUE"""),65)</f>
        <v>65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IFERROR(__xludf.DUMMYFUNCTION("""COMPUTED_VALUE"""),"zx - Shade Tarp")</f>
        <v>zx - Shade Tarp</v>
      </c>
      <c r="B225" s="61"/>
      <c r="C225" s="61" t="str">
        <f ca="1">IFERROR(__xludf.DUMMYFUNCTION("""COMPUTED_VALUE"""),"zx -Shade Tarp")</f>
        <v>zx -Shade Tarp</v>
      </c>
      <c r="D225" s="61"/>
      <c r="E225" s="61" t="str">
        <f ca="1">IFERROR(__xludf.DUMMYFUNCTION("""COMPUTED_VALUE"""),"0-0""")</f>
        <v>0-0"</v>
      </c>
      <c r="F225" s="61" t="str">
        <f ca="1">IFERROR(__xludf.DUMMYFUNCTION("""COMPUTED_VALUE"""),"0-0'")</f>
        <v>0-0'</v>
      </c>
      <c r="G225" s="62">
        <f ca="1">IFERROR(__xludf.DUMMYFUNCTION("""COMPUTED_VALUE"""),9)</f>
        <v>9</v>
      </c>
      <c r="H225" s="63">
        <f ca="1">IFERROR(__xludf.DUMMYFUNCTION("""COMPUTED_VALUE"""),30)</f>
        <v>30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IFERROR(__xludf.DUMMYFUNCTION("""COMPUTED_VALUE"""),"zx -Cages")</f>
        <v>zx -Cages</v>
      </c>
      <c r="B226" s="61"/>
      <c r="C226" s="61" t="str">
        <f ca="1">IFERROR(__xludf.DUMMYFUNCTION("""COMPUTED_VALUE"""),"zx -Cages")</f>
        <v>zx -Cages</v>
      </c>
      <c r="D226" s="61"/>
      <c r="E226" s="61" t="str">
        <f ca="1">IFERROR(__xludf.DUMMYFUNCTION("""COMPUTED_VALUE"""),"0-0""")</f>
        <v>0-0"</v>
      </c>
      <c r="F226" s="61" t="str">
        <f ca="1">IFERROR(__xludf.DUMMYFUNCTION("""COMPUTED_VALUE"""),"0-0'")</f>
        <v>0-0'</v>
      </c>
      <c r="G226" s="62">
        <f ca="1">IFERROR(__xludf.DUMMYFUNCTION("""COMPUTED_VALUE"""),981)</f>
        <v>981</v>
      </c>
      <c r="H226" s="63">
        <f ca="1">IFERROR(__xludf.DUMMYFUNCTION("""COMPUTED_VALUE"""),45)</f>
        <v>45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tabSelected="1" workbookViewId="0">
      <selection activeCell="B4" sqref="B4"/>
    </sheetView>
  </sheetViews>
  <sheetFormatPr defaultColWidth="12.5703125" defaultRowHeight="15.75" customHeight="1" x14ac:dyDescent="0.2"/>
  <cols>
    <col min="1" max="1" width="37.1406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25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131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73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1-1"</v>
      </c>
      <c r="D11" s="51" t="str">
        <f ca="1">'Fruit Trees'!E7</f>
        <v>7-8'</v>
      </c>
      <c r="E11" s="75">
        <f ca="1">'Fruit Trees'!F7</f>
        <v>14</v>
      </c>
      <c r="F11" s="76">
        <f ca="1">'Fruit Trees'!G7</f>
        <v>55</v>
      </c>
    </row>
    <row r="12" spans="1:8" ht="12.75" x14ac:dyDescent="0.2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7-11'</v>
      </c>
      <c r="E12" s="75">
        <f ca="1">'Fruit Trees'!F8</f>
        <v>74</v>
      </c>
      <c r="F12" s="76">
        <f ca="1">'Fruit Trees'!G8</f>
        <v>55</v>
      </c>
    </row>
    <row r="13" spans="1:8" ht="12.75" x14ac:dyDescent="0.2">
      <c r="A13" s="51" t="str">
        <f ca="1">'Fruit Trees'!A9</f>
        <v>Apple - Cortland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6-7'</v>
      </c>
      <c r="E13" s="75">
        <f ca="1">'Fruit Trees'!F9</f>
        <v>38</v>
      </c>
      <c r="F13" s="76">
        <f ca="1">'Fruit Trees'!G9</f>
        <v>55</v>
      </c>
    </row>
    <row r="14" spans="1:8" ht="12.75" x14ac:dyDescent="0.2">
      <c r="A14" s="51" t="str">
        <f ca="1">'Fruit Trees'!A10</f>
        <v>Apple - Crimson Crisp</v>
      </c>
      <c r="B14" s="51" t="str">
        <f ca="1">'Fruit Trees'!C10</f>
        <v>#5</v>
      </c>
      <c r="C14" s="51" t="str">
        <f ca="1">'Fruit Trees'!D10</f>
        <v>0.75-1"</v>
      </c>
      <c r="D14" s="51" t="str">
        <f ca="1">'Fruit Trees'!E10</f>
        <v>7-10'</v>
      </c>
      <c r="E14" s="75">
        <f ca="1">'Fruit Trees'!F10</f>
        <v>44</v>
      </c>
      <c r="F14" s="76">
        <f ca="1">'Fruit Trees'!G10</f>
        <v>55</v>
      </c>
    </row>
    <row r="15" spans="1:8" ht="12.75" x14ac:dyDescent="0.2">
      <c r="A15" s="51" t="str">
        <f ca="1">'Fruit Trees'!A11</f>
        <v>Apple - Crown Empire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6-8'</v>
      </c>
      <c r="E15" s="75">
        <f ca="1">'Fruit Trees'!F11</f>
        <v>15</v>
      </c>
      <c r="F15" s="76">
        <f ca="1">'Fruit Trees'!G11</f>
        <v>55</v>
      </c>
    </row>
    <row r="16" spans="1:8" ht="12.75" x14ac:dyDescent="0.2">
      <c r="A16" s="51" t="str">
        <f ca="1">'Fruit Trees'!A12</f>
        <v>Apple - Enterprise</v>
      </c>
      <c r="B16" s="51" t="str">
        <f ca="1">'Fruit Trees'!C12</f>
        <v>#5</v>
      </c>
      <c r="C16" s="51" t="str">
        <f ca="1">'Fruit Trees'!D12</f>
        <v>1-1.25"</v>
      </c>
      <c r="D16" s="51" t="str">
        <f ca="1">'Fruit Trees'!E12</f>
        <v>7-10'</v>
      </c>
      <c r="E16" s="75">
        <f ca="1">'Fruit Trees'!F12</f>
        <v>392</v>
      </c>
      <c r="F16" s="76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#10</v>
      </c>
      <c r="C17" s="51" t="str">
        <f ca="1">'Fruit Trees'!D13</f>
        <v>1-1.25"</v>
      </c>
      <c r="D17" s="51" t="str">
        <f ca="1">'Fruit Trees'!E13</f>
        <v>7-10'</v>
      </c>
      <c r="E17" s="75">
        <f ca="1">'Fruit Trees'!F13</f>
        <v>13</v>
      </c>
      <c r="F17" s="76">
        <f ca="1">'Fruit Trees'!G13</f>
        <v>100</v>
      </c>
    </row>
    <row r="18" spans="1:6" ht="12.75" x14ac:dyDescent="0.2">
      <c r="A18" s="51" t="str">
        <f ca="1">'Fruit Trees'!A14</f>
        <v>Apple - Freedom</v>
      </c>
      <c r="B18" s="51" t="str">
        <f ca="1">'Fruit Trees'!C14</f>
        <v>#5</v>
      </c>
      <c r="C18" s="51" t="str">
        <f ca="1">'Fruit Trees'!D14</f>
        <v>1-1.25"</v>
      </c>
      <c r="D18" s="51" t="str">
        <f ca="1">'Fruit Trees'!E14</f>
        <v>7-8'</v>
      </c>
      <c r="E18" s="75">
        <f ca="1">'Fruit Trees'!F14</f>
        <v>64</v>
      </c>
      <c r="F18" s="76">
        <f ca="1">'Fruit Trees'!G14</f>
        <v>55</v>
      </c>
    </row>
    <row r="19" spans="1:6" ht="12.75" x14ac:dyDescent="0.2">
      <c r="A19" s="51" t="str">
        <f ca="1">'Fruit Trees'!A15</f>
        <v>Apple - Fuji</v>
      </c>
      <c r="B19" s="51" t="str">
        <f ca="1">'Fruit Trees'!C15</f>
        <v>#5</v>
      </c>
      <c r="C19" s="51" t="str">
        <f ca="1">'Fruit Trees'!D15</f>
        <v>0.75-1.25"</v>
      </c>
      <c r="D19" s="51" t="str">
        <f ca="1">'Fruit Trees'!E15</f>
        <v>6-10'</v>
      </c>
      <c r="E19" s="75">
        <f ca="1">'Fruit Trees'!F15</f>
        <v>49</v>
      </c>
      <c r="F19" s="76">
        <f ca="1">'Fruit Trees'!G15</f>
        <v>55</v>
      </c>
    </row>
    <row r="20" spans="1:6" ht="12.75" x14ac:dyDescent="0.2">
      <c r="A20" s="51" t="str">
        <f ca="1">'Fruit Trees'!A16</f>
        <v>Apple - Gala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6-10'</v>
      </c>
      <c r="E20" s="75">
        <f ca="1">'Fruit Trees'!F16</f>
        <v>80</v>
      </c>
      <c r="F20" s="76">
        <f ca="1">'Fruit Trees'!G16</f>
        <v>55</v>
      </c>
    </row>
    <row r="21" spans="1:6" ht="12.75" x14ac:dyDescent="0.2">
      <c r="A21" s="51" t="str">
        <f ca="1">'Fruit Trees'!A17</f>
        <v>Apple - Galarina</v>
      </c>
      <c r="B21" s="51" t="str">
        <f ca="1">'Fruit Trees'!C17</f>
        <v>#5</v>
      </c>
      <c r="C21" s="51" t="str">
        <f ca="1">'Fruit Trees'!D17</f>
        <v>1-1.25"</v>
      </c>
      <c r="D21" s="51" t="str">
        <f ca="1">'Fruit Trees'!E17</f>
        <v>8-11'</v>
      </c>
      <c r="E21" s="75">
        <f ca="1">'Fruit Trees'!F17</f>
        <v>111</v>
      </c>
      <c r="F21" s="76">
        <f ca="1">'Fruit Trees'!G17</f>
        <v>55</v>
      </c>
    </row>
    <row r="22" spans="1:6" ht="12.75" x14ac:dyDescent="0.2">
      <c r="A22" s="51" t="str">
        <f ca="1">'Fruit Trees'!A18</f>
        <v>Apple - Gold Rush</v>
      </c>
      <c r="B22" s="51" t="str">
        <f ca="1">'Fruit Trees'!C18</f>
        <v>#5</v>
      </c>
      <c r="C22" s="51" t="str">
        <f ca="1">'Fruit Trees'!D18</f>
        <v>0.75-1"</v>
      </c>
      <c r="D22" s="51" t="str">
        <f ca="1">'Fruit Trees'!E18</f>
        <v>7-10'</v>
      </c>
      <c r="E22" s="75">
        <f ca="1">'Fruit Trees'!F18</f>
        <v>83</v>
      </c>
      <c r="F22" s="76">
        <f ca="1">'Fruit Trees'!G18</f>
        <v>55</v>
      </c>
    </row>
    <row r="23" spans="1:6" ht="12.75" x14ac:dyDescent="0.2">
      <c r="A23" s="51" t="str">
        <f ca="1">'Fruit Trees'!A19</f>
        <v>Apple - Granny Smith</v>
      </c>
      <c r="B23" s="51" t="str">
        <f ca="1">'Fruit Trees'!C19</f>
        <v>#5</v>
      </c>
      <c r="C23" s="51" t="str">
        <f ca="1">'Fruit Trees'!D19</f>
        <v>0.75-1.25"</v>
      </c>
      <c r="D23" s="51" t="str">
        <f ca="1">'Fruit Trees'!E19</f>
        <v>7-11'</v>
      </c>
      <c r="E23" s="75">
        <f ca="1">'Fruit Trees'!F19</f>
        <v>92</v>
      </c>
      <c r="F23" s="76">
        <f ca="1">'Fruit Trees'!G19</f>
        <v>55</v>
      </c>
    </row>
    <row r="24" spans="1:6" ht="12.75" x14ac:dyDescent="0.2">
      <c r="A24" s="51" t="str">
        <f ca="1">'Fruit Trees'!A20</f>
        <v>Apple - Honeycrisp</v>
      </c>
      <c r="B24" s="51" t="str">
        <f ca="1">'Fruit Trees'!C20</f>
        <v>#5</v>
      </c>
      <c r="C24" s="51" t="str">
        <f ca="1">'Fruit Trees'!D20</f>
        <v>0.75-1"</v>
      </c>
      <c r="D24" s="51" t="str">
        <f ca="1">'Fruit Trees'!E20</f>
        <v>6-9'</v>
      </c>
      <c r="E24" s="75">
        <f ca="1">'Fruit Trees'!F20</f>
        <v>54</v>
      </c>
      <c r="F24" s="76">
        <f ca="1">'Fruit Trees'!G20</f>
        <v>55</v>
      </c>
    </row>
    <row r="25" spans="1:6" ht="12.75" x14ac:dyDescent="0.2">
      <c r="A25" s="51" t="str">
        <f ca="1">'Fruit Trees'!A21</f>
        <v>Apple - Honeycrisp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7-10'</v>
      </c>
      <c r="E25" s="75">
        <f ca="1">'Fruit Trees'!F21</f>
        <v>6</v>
      </c>
      <c r="F25" s="76">
        <f ca="1">'Fruit Trees'!G21</f>
        <v>100</v>
      </c>
    </row>
    <row r="26" spans="1:6" ht="12.75" x14ac:dyDescent="0.2">
      <c r="A26" s="51" t="str">
        <f ca="1">'Fruit Trees'!A22</f>
        <v>Apple - Initial</v>
      </c>
      <c r="B26" s="51" t="str">
        <f ca="1">'Fruit Trees'!C22</f>
        <v>#5</v>
      </c>
      <c r="C26" s="51" t="str">
        <f ca="1">'Fruit Trees'!D22</f>
        <v>1-1.25"</v>
      </c>
      <c r="D26" s="51" t="str">
        <f ca="1">'Fruit Trees'!E22</f>
        <v>6-9'</v>
      </c>
      <c r="E26" s="75">
        <f ca="1">'Fruit Trees'!F22</f>
        <v>52</v>
      </c>
      <c r="F26" s="76">
        <f ca="1">'Fruit Trees'!G22</f>
        <v>55</v>
      </c>
    </row>
    <row r="27" spans="1:6" ht="12.75" x14ac:dyDescent="0.2">
      <c r="A27" s="51" t="str">
        <f ca="1">'Fruit Trees'!A23</f>
        <v>Apple - Liberty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7-10'</v>
      </c>
      <c r="E27" s="75">
        <f ca="1">'Fruit Trees'!F23</f>
        <v>126</v>
      </c>
      <c r="F27" s="76">
        <f ca="1">'Fruit Trees'!G23</f>
        <v>55</v>
      </c>
    </row>
    <row r="28" spans="1:6" ht="12.75" x14ac:dyDescent="0.2">
      <c r="A28" s="51" t="str">
        <f ca="1">'Fruit Trees'!A24</f>
        <v>Apple - Liberty</v>
      </c>
      <c r="B28" s="51" t="str">
        <f ca="1">'Fruit Trees'!C24</f>
        <v>#10</v>
      </c>
      <c r="C28" s="51" t="str">
        <f ca="1">'Fruit Trees'!D24</f>
        <v>1-1.25"</v>
      </c>
      <c r="D28" s="51" t="str">
        <f ca="1">'Fruit Trees'!E24</f>
        <v>7-9'</v>
      </c>
      <c r="E28" s="75">
        <f ca="1">'Fruit Trees'!F24</f>
        <v>3</v>
      </c>
      <c r="F28" s="76">
        <f ca="1">'Fruit Trees'!G24</f>
        <v>100</v>
      </c>
    </row>
    <row r="29" spans="1:6" ht="12.75" x14ac:dyDescent="0.2">
      <c r="A29" s="51" t="str">
        <f ca="1">'Fruit Trees'!A25</f>
        <v>Apple - Macoun</v>
      </c>
      <c r="B29" s="51" t="str">
        <f ca="1">'Fruit Trees'!C25</f>
        <v>#5</v>
      </c>
      <c r="C29" s="51" t="str">
        <f ca="1">'Fruit Trees'!D25</f>
        <v>0.75-1.25"</v>
      </c>
      <c r="D29" s="51" t="str">
        <f ca="1">'Fruit Trees'!E25</f>
        <v>7-11'</v>
      </c>
      <c r="E29" s="75">
        <f ca="1">'Fruit Trees'!F25</f>
        <v>108</v>
      </c>
      <c r="F29" s="76">
        <f ca="1">'Fruit Trees'!G25</f>
        <v>55</v>
      </c>
    </row>
    <row r="30" spans="1:6" ht="12.75" x14ac:dyDescent="0.2">
      <c r="A30" s="51" t="str">
        <f ca="1">'Fruit Trees'!A26</f>
        <v>Apple - McIntosh</v>
      </c>
      <c r="B30" s="51" t="str">
        <f ca="1">'Fruit Trees'!C26</f>
        <v>#5</v>
      </c>
      <c r="C30" s="51" t="str">
        <f ca="1">'Fruit Trees'!D26</f>
        <v>0.75-1.5"</v>
      </c>
      <c r="D30" s="51" t="str">
        <f ca="1">'Fruit Trees'!E26</f>
        <v>6-10'</v>
      </c>
      <c r="E30" s="75">
        <f ca="1">'Fruit Trees'!F26</f>
        <v>104</v>
      </c>
      <c r="F30" s="76">
        <f ca="1">'Fruit Trees'!G26</f>
        <v>55</v>
      </c>
    </row>
    <row r="31" spans="1:6" ht="12.75" x14ac:dyDescent="0.2">
      <c r="A31" s="51" t="str">
        <f ca="1">'Fruit Trees'!A27</f>
        <v>Apple - McIntosh</v>
      </c>
      <c r="B31" s="51" t="str">
        <f ca="1">'Fruit Trees'!C27</f>
        <v>#10</v>
      </c>
      <c r="C31" s="51" t="str">
        <f ca="1">'Fruit Trees'!D27</f>
        <v>1-1.25"</v>
      </c>
      <c r="D31" s="51" t="str">
        <f ca="1">'Fruit Trees'!E27</f>
        <v>9-10'</v>
      </c>
      <c r="E31" s="75">
        <f ca="1">'Fruit Trees'!F27</f>
        <v>1</v>
      </c>
      <c r="F31" s="76">
        <f ca="1">'Fruit Trees'!G27</f>
        <v>100</v>
      </c>
    </row>
    <row r="32" spans="1:6" ht="12.75" x14ac:dyDescent="0.2">
      <c r="A32" s="51" t="str">
        <f ca="1">'Fruit Trees'!A28</f>
        <v>Apple - Nova Spy</v>
      </c>
      <c r="B32" s="51" t="str">
        <f ca="1">'Fruit Trees'!C28</f>
        <v>#5</v>
      </c>
      <c r="C32" s="51" t="str">
        <f ca="1">'Fruit Trees'!D28</f>
        <v>0.75-1"</v>
      </c>
      <c r="D32" s="51" t="str">
        <f ca="1">'Fruit Trees'!E28</f>
        <v>9-10'</v>
      </c>
      <c r="E32" s="75">
        <f ca="1">'Fruit Trees'!F28</f>
        <v>141</v>
      </c>
      <c r="F32" s="76">
        <f ca="1">'Fruit Trees'!G28</f>
        <v>55</v>
      </c>
    </row>
    <row r="33" spans="1:6" ht="12.75" x14ac:dyDescent="0.2">
      <c r="A33" s="51" t="str">
        <f ca="1">'Fruit Trees'!A29</f>
        <v>Apple - Pink Lady</v>
      </c>
      <c r="B33" s="51" t="str">
        <f ca="1">'Fruit Trees'!C29</f>
        <v>#5</v>
      </c>
      <c r="C33" s="51" t="str">
        <f ca="1">'Fruit Trees'!D29</f>
        <v>0.75-1"</v>
      </c>
      <c r="D33" s="51" t="str">
        <f ca="1">'Fruit Trees'!E29</f>
        <v>5.5-6.5'</v>
      </c>
      <c r="E33" s="75">
        <f ca="1">'Fruit Trees'!F29</f>
        <v>23</v>
      </c>
      <c r="F33" s="76">
        <f ca="1">'Fruit Trees'!G29</f>
        <v>55</v>
      </c>
    </row>
    <row r="34" spans="1:6" ht="12.75" x14ac:dyDescent="0.2">
      <c r="A34" s="51" t="str">
        <f ca="1">'Fruit Trees'!A30</f>
        <v>Apple - Querina</v>
      </c>
      <c r="B34" s="51" t="str">
        <f ca="1">'Fruit Trees'!C30</f>
        <v>#5</v>
      </c>
      <c r="C34" s="51" t="str">
        <f ca="1">'Fruit Trees'!D30</f>
        <v>1-1.25"</v>
      </c>
      <c r="D34" s="51" t="str">
        <f ca="1">'Fruit Trees'!E30</f>
        <v>7-11'</v>
      </c>
      <c r="E34" s="75">
        <f ca="1">'Fruit Trees'!F30</f>
        <v>183</v>
      </c>
      <c r="F34" s="76">
        <f ca="1">'Fruit Trees'!G30</f>
        <v>55</v>
      </c>
    </row>
    <row r="35" spans="1:6" ht="12.75" x14ac:dyDescent="0.2">
      <c r="A35" s="51" t="str">
        <f ca="1">'Fruit Trees'!A31</f>
        <v>Apple - Querina</v>
      </c>
      <c r="B35" s="51" t="str">
        <f ca="1">'Fruit Trees'!C31</f>
        <v>#10</v>
      </c>
      <c r="C35" s="51" t="str">
        <f ca="1">'Fruit Trees'!D31</f>
        <v>1-1.25"</v>
      </c>
      <c r="D35" s="51" t="str">
        <f ca="1">'Fruit Trees'!E31</f>
        <v>7-8'</v>
      </c>
      <c r="E35" s="75">
        <f ca="1">'Fruit Trees'!F31</f>
        <v>10</v>
      </c>
      <c r="F35" s="76">
        <f ca="1">'Fruit Trees'!G31</f>
        <v>100</v>
      </c>
    </row>
    <row r="36" spans="1:6" ht="12.75" x14ac:dyDescent="0.2">
      <c r="A36" s="51" t="str">
        <f ca="1">'Fruit Trees'!A32</f>
        <v>Apple - Red Cameo</v>
      </c>
      <c r="B36" s="51" t="str">
        <f ca="1">'Fruit Trees'!C32</f>
        <v>#5</v>
      </c>
      <c r="C36" s="51" t="str">
        <f ca="1">'Fruit Trees'!D32</f>
        <v>0.75-1"</v>
      </c>
      <c r="D36" s="51" t="str">
        <f ca="1">'Fruit Trees'!E32</f>
        <v>8-9'</v>
      </c>
      <c r="E36" s="75">
        <f ca="1">'Fruit Trees'!F32</f>
        <v>27</v>
      </c>
      <c r="F36" s="76">
        <f ca="1">'Fruit Trees'!G32</f>
        <v>55</v>
      </c>
    </row>
    <row r="37" spans="1:6" ht="12.75" x14ac:dyDescent="0.2">
      <c r="A37" s="51" t="str">
        <f ca="1">'Fruit Trees'!A33</f>
        <v>Apple - Red Delicious</v>
      </c>
      <c r="B37" s="51" t="str">
        <f ca="1">'Fruit Trees'!C33</f>
        <v>#5</v>
      </c>
      <c r="C37" s="51" t="str">
        <f ca="1">'Fruit Trees'!D33</f>
        <v>0.75-1.25"</v>
      </c>
      <c r="D37" s="51" t="str">
        <f ca="1">'Fruit Trees'!E33</f>
        <v>6-11'</v>
      </c>
      <c r="E37" s="75">
        <f ca="1">'Fruit Trees'!F33</f>
        <v>138</v>
      </c>
      <c r="F37" s="76">
        <f ca="1">'Fruit Trees'!G33</f>
        <v>55</v>
      </c>
    </row>
    <row r="38" spans="1:6" ht="12.75" x14ac:dyDescent="0.2">
      <c r="A38" s="51" t="str">
        <f ca="1">'Fruit Trees'!A34</f>
        <v>Apple - Red Delicious</v>
      </c>
      <c r="B38" s="51" t="str">
        <f ca="1">'Fruit Trees'!C34</f>
        <v>#10</v>
      </c>
      <c r="C38" s="51" t="str">
        <f ca="1">'Fruit Trees'!D34</f>
        <v>1-1.5"</v>
      </c>
      <c r="D38" s="51" t="str">
        <f ca="1">'Fruit Trees'!E34</f>
        <v>10-11'</v>
      </c>
      <c r="E38" s="75">
        <f ca="1">'Fruit Trees'!F34</f>
        <v>7</v>
      </c>
      <c r="F38" s="76">
        <f ca="1">'Fruit Trees'!G34</f>
        <v>100</v>
      </c>
    </row>
    <row r="39" spans="1:6" ht="12.75" x14ac:dyDescent="0.2">
      <c r="A39" s="51" t="str">
        <f ca="1">'Fruit Trees'!A35</f>
        <v>Apple - RubyRush</v>
      </c>
      <c r="B39" s="51" t="str">
        <f ca="1">'Fruit Trees'!C35</f>
        <v>#5</v>
      </c>
      <c r="C39" s="51" t="str">
        <f ca="1">'Fruit Trees'!D35</f>
        <v>0.75-1.25"</v>
      </c>
      <c r="D39" s="51" t="str">
        <f ca="1">'Fruit Trees'!E35</f>
        <v>8.5-10'</v>
      </c>
      <c r="E39" s="75">
        <f ca="1">'Fruit Trees'!F35</f>
        <v>40</v>
      </c>
      <c r="F39" s="76">
        <f ca="1">'Fruit Trees'!G35</f>
        <v>55</v>
      </c>
    </row>
    <row r="40" spans="1:6" ht="12.75" x14ac:dyDescent="0.2">
      <c r="A40" s="51" t="str">
        <f ca="1">'Fruit Trees'!A36</f>
        <v>Apple - Spur Winter Banana</v>
      </c>
      <c r="B40" s="51" t="str">
        <f ca="1">'Fruit Trees'!C36</f>
        <v>#5</v>
      </c>
      <c r="C40" s="51" t="str">
        <f ca="1">'Fruit Trees'!D36</f>
        <v>0.75-1.25"</v>
      </c>
      <c r="D40" s="51" t="str">
        <f ca="1">'Fruit Trees'!E36</f>
        <v>4-8'</v>
      </c>
      <c r="E40" s="75">
        <f ca="1">'Fruit Trees'!F36</f>
        <v>21</v>
      </c>
      <c r="F40" s="76">
        <f ca="1">'Fruit Trees'!G36</f>
        <v>55</v>
      </c>
    </row>
    <row r="41" spans="1:6" ht="12.75" x14ac:dyDescent="0.2">
      <c r="A41" s="51" t="str">
        <f ca="1">'Fruit Trees'!A37</f>
        <v>Apple - Winesap</v>
      </c>
      <c r="B41" s="51" t="str">
        <f ca="1">'Fruit Trees'!C37</f>
        <v>#5</v>
      </c>
      <c r="C41" s="51" t="str">
        <f ca="1">'Fruit Trees'!D37</f>
        <v>0.75-1.25"</v>
      </c>
      <c r="D41" s="51" t="str">
        <f ca="1">'Fruit Trees'!E37</f>
        <v>7-10'</v>
      </c>
      <c r="E41" s="75">
        <f ca="1">'Fruit Trees'!F37</f>
        <v>96</v>
      </c>
      <c r="F41" s="76">
        <f ca="1">'Fruit Trees'!G37</f>
        <v>55</v>
      </c>
    </row>
    <row r="42" spans="1:6" ht="12.75" x14ac:dyDescent="0.2">
      <c r="A42" s="51" t="str">
        <f ca="1">'Fruit Trees'!A38</f>
        <v>Apple - Wolf River</v>
      </c>
      <c r="B42" s="51" t="str">
        <f ca="1">'Fruit Trees'!C38</f>
        <v>#10</v>
      </c>
      <c r="C42" s="51" t="str">
        <f ca="1">'Fruit Trees'!D38</f>
        <v>1-1.25"</v>
      </c>
      <c r="D42" s="51" t="str">
        <f ca="1">'Fruit Trees'!E38</f>
        <v>8-9'</v>
      </c>
      <c r="E42" s="75">
        <f ca="1">'Fruit Trees'!F38</f>
        <v>10</v>
      </c>
      <c r="F42" s="76">
        <f ca="1">'Fruit Trees'!G38</f>
        <v>100</v>
      </c>
    </row>
    <row r="43" spans="1:6" ht="12.75" x14ac:dyDescent="0.2">
      <c r="A43" s="51" t="str">
        <f ca="1">'Fruit Trees'!A39</f>
        <v>Apple - Wolf River</v>
      </c>
      <c r="B43" s="51" t="str">
        <f ca="1">'Fruit Trees'!C39</f>
        <v>#5</v>
      </c>
      <c r="C43" s="51" t="str">
        <f ca="1">'Fruit Trees'!D39</f>
        <v>0.75-1"</v>
      </c>
      <c r="D43" s="51" t="str">
        <f ca="1">'Fruit Trees'!E39</f>
        <v>7-8.5'</v>
      </c>
      <c r="E43" s="75">
        <f ca="1">'Fruit Trees'!F39</f>
        <v>85</v>
      </c>
      <c r="F43" s="76">
        <f ca="1">'Fruit Trees'!G39</f>
        <v>55</v>
      </c>
    </row>
    <row r="44" spans="1:6" ht="12.75" x14ac:dyDescent="0.2">
      <c r="A44" s="51" t="str">
        <f ca="1">'Fruit Trees'!A40</f>
        <v>Apricot - OrangeRed</v>
      </c>
      <c r="B44" s="51" t="str">
        <f ca="1">'Fruit Trees'!C40</f>
        <v>#7</v>
      </c>
      <c r="C44" s="51" t="str">
        <f ca="1">'Fruit Trees'!D40</f>
        <v>1-1.25"</v>
      </c>
      <c r="D44" s="51" t="str">
        <f ca="1">'Fruit Trees'!E40</f>
        <v>7-9'</v>
      </c>
      <c r="E44" s="75">
        <f ca="1">'Fruit Trees'!F40</f>
        <v>4</v>
      </c>
      <c r="F44" s="76">
        <f ca="1">'Fruit Trees'!G40</f>
        <v>100</v>
      </c>
    </row>
    <row r="45" spans="1:6" ht="12.75" x14ac:dyDescent="0.2">
      <c r="A45" s="51" t="str">
        <f ca="1">'Fruit Trees'!A41</f>
        <v>Apricot - OrangeRed</v>
      </c>
      <c r="B45" s="51" t="str">
        <f ca="1">'Fruit Trees'!C41</f>
        <v>#10</v>
      </c>
      <c r="C45" s="51" t="str">
        <f ca="1">'Fruit Trees'!D41</f>
        <v>1-1.25"</v>
      </c>
      <c r="D45" s="51" t="str">
        <f ca="1">'Fruit Trees'!E41</f>
        <v>8-10'</v>
      </c>
      <c r="E45" s="75">
        <f ca="1">'Fruit Trees'!F41</f>
        <v>9</v>
      </c>
      <c r="F45" s="76">
        <f ca="1">'Fruit Trees'!G41</f>
        <v>100</v>
      </c>
    </row>
    <row r="46" spans="1:6" ht="12.75" x14ac:dyDescent="0.2">
      <c r="A46" s="51" t="str">
        <f ca="1">'Fruit Trees'!A42</f>
        <v>Asian Pear - Hosui</v>
      </c>
      <c r="B46" s="51" t="str">
        <f ca="1">'Fruit Trees'!C42</f>
        <v>#7</v>
      </c>
      <c r="C46" s="51" t="str">
        <f ca="1">'Fruit Trees'!D42</f>
        <v>0.75-1.25"</v>
      </c>
      <c r="D46" s="51" t="str">
        <f ca="1">'Fruit Trees'!E42</f>
        <v>7-10'</v>
      </c>
      <c r="E46" s="75">
        <f ca="1">'Fruit Trees'!F42</f>
        <v>53</v>
      </c>
      <c r="F46" s="76">
        <f ca="1">'Fruit Trees'!G42</f>
        <v>80</v>
      </c>
    </row>
    <row r="47" spans="1:6" ht="12.75" x14ac:dyDescent="0.2">
      <c r="A47" s="51" t="str">
        <f ca="1">'Fruit Trees'!A43</f>
        <v>Asian Pear - Kosui</v>
      </c>
      <c r="B47" s="51" t="str">
        <f ca="1">'Fruit Trees'!C43</f>
        <v>#7</v>
      </c>
      <c r="C47" s="51" t="str">
        <f ca="1">'Fruit Trees'!D43</f>
        <v>1-1.5"</v>
      </c>
      <c r="D47" s="51" t="str">
        <f ca="1">'Fruit Trees'!E43</f>
        <v>8-11'</v>
      </c>
      <c r="E47" s="75">
        <f ca="1">'Fruit Trees'!F43</f>
        <v>97</v>
      </c>
      <c r="F47" s="76">
        <f ca="1">'Fruit Trees'!G43</f>
        <v>80</v>
      </c>
    </row>
    <row r="48" spans="1:6" ht="12.75" x14ac:dyDescent="0.2">
      <c r="A48" s="51" t="str">
        <f ca="1">'Fruit Trees'!A44</f>
        <v>Asian Pear - Olympic</v>
      </c>
      <c r="B48" s="51" t="str">
        <f ca="1">'Fruit Trees'!C44</f>
        <v>#7</v>
      </c>
      <c r="C48" s="51" t="str">
        <f ca="1">'Fruit Trees'!D44</f>
        <v>0.75-1.5"</v>
      </c>
      <c r="D48" s="51" t="str">
        <f ca="1">'Fruit Trees'!E44</f>
        <v>6-11'</v>
      </c>
      <c r="E48" s="75">
        <f ca="1">'Fruit Trees'!F44</f>
        <v>171</v>
      </c>
      <c r="F48" s="76">
        <f ca="1">'Fruit Trees'!G44</f>
        <v>80</v>
      </c>
    </row>
    <row r="49" spans="1:6" ht="12.75" x14ac:dyDescent="0.2">
      <c r="A49" s="51" t="str">
        <f ca="1">'Fruit Trees'!A45</f>
        <v>Asian Pear - Shinko</v>
      </c>
      <c r="B49" s="51" t="str">
        <f ca="1">'Fruit Trees'!C45</f>
        <v>#5</v>
      </c>
      <c r="C49" s="51" t="str">
        <f ca="1">'Fruit Trees'!D45</f>
        <v>1-1.25"</v>
      </c>
      <c r="D49" s="51" t="str">
        <f ca="1">'Fruit Trees'!E45</f>
        <v>8-10'</v>
      </c>
      <c r="E49" s="75">
        <f ca="1">'Fruit Trees'!F45</f>
        <v>1</v>
      </c>
      <c r="F49" s="76">
        <f ca="1">'Fruit Trees'!G45</f>
        <v>55</v>
      </c>
    </row>
    <row r="50" spans="1:6" ht="12.75" x14ac:dyDescent="0.2">
      <c r="A50" s="51" t="str">
        <f ca="1">'Fruit Trees'!A46</f>
        <v>Asian Pear - Shinko</v>
      </c>
      <c r="B50" s="51" t="str">
        <f ca="1">'Fruit Trees'!C46</f>
        <v>#7</v>
      </c>
      <c r="C50" s="51" t="str">
        <f ca="1">'Fruit Trees'!D46</f>
        <v>0.75-1.5"</v>
      </c>
      <c r="D50" s="51" t="str">
        <f ca="1">'Fruit Trees'!E46</f>
        <v>7-12'</v>
      </c>
      <c r="E50" s="75">
        <f ca="1">'Fruit Trees'!F46</f>
        <v>79</v>
      </c>
      <c r="F50" s="76">
        <f ca="1">'Fruit Trees'!G46</f>
        <v>80</v>
      </c>
    </row>
    <row r="51" spans="1:6" ht="12.75" x14ac:dyDescent="0.2">
      <c r="A51" s="51" t="str">
        <f ca="1">'Fruit Trees'!A47</f>
        <v>Blackberry - Prime-ark 'Freedom'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3-6'</v>
      </c>
      <c r="E51" s="75">
        <f ca="1">'Fruit Trees'!F47</f>
        <v>1</v>
      </c>
      <c r="F51" s="76">
        <f ca="1">'Fruit Trees'!G47</f>
        <v>35</v>
      </c>
    </row>
    <row r="52" spans="1:6" ht="12.75" x14ac:dyDescent="0.2">
      <c r="A52" s="51" t="str">
        <f ca="1">'Fruit Trees'!A48</f>
        <v>Cherry (Sour) - Montmorency</v>
      </c>
      <c r="B52" s="51" t="str">
        <f ca="1">'Fruit Trees'!C48</f>
        <v>#5</v>
      </c>
      <c r="C52" s="51" t="str">
        <f ca="1">'Fruit Trees'!D48</f>
        <v>0.75-1.25"</v>
      </c>
      <c r="D52" s="51" t="str">
        <f ca="1">'Fruit Trees'!E48</f>
        <v>5-7'</v>
      </c>
      <c r="E52" s="75">
        <f ca="1">'Fruit Trees'!F48</f>
        <v>42</v>
      </c>
      <c r="F52" s="76">
        <f ca="1">'Fruit Trees'!G48</f>
        <v>80</v>
      </c>
    </row>
    <row r="53" spans="1:6" ht="12.75" x14ac:dyDescent="0.2">
      <c r="A53" s="51" t="str">
        <f ca="1">'Fruit Trees'!A49</f>
        <v>Chestnut - Chinese</v>
      </c>
      <c r="B53" s="51" t="str">
        <f ca="1">'Fruit Trees'!C49</f>
        <v>#5</v>
      </c>
      <c r="C53" s="51" t="str">
        <f ca="1">'Fruit Trees'!D49</f>
        <v>0.5-0.75"</v>
      </c>
      <c r="D53" s="51" t="str">
        <f ca="1">'Fruit Trees'!E49</f>
        <v>4-8'</v>
      </c>
      <c r="E53" s="75">
        <f ca="1">'Fruit Trees'!F49</f>
        <v>153</v>
      </c>
      <c r="F53" s="76">
        <f ca="1">'Fruit Trees'!G49</f>
        <v>55</v>
      </c>
    </row>
    <row r="54" spans="1:6" ht="12.75" x14ac:dyDescent="0.2">
      <c r="A54" s="51" t="str">
        <f ca="1">'Fruit Trees'!A50</f>
        <v>Chestnut - Chinese Jenny</v>
      </c>
      <c r="B54" s="51" t="str">
        <f ca="1">'Fruit Trees'!C50</f>
        <v>#3</v>
      </c>
      <c r="C54" s="51" t="str">
        <f ca="1">'Fruit Trees'!D50</f>
        <v>0.5-0.75"</v>
      </c>
      <c r="D54" s="51" t="str">
        <f ca="1">'Fruit Trees'!E50</f>
        <v>5-6'</v>
      </c>
      <c r="E54" s="75">
        <f ca="1">'Fruit Trees'!F50</f>
        <v>1</v>
      </c>
      <c r="F54" s="76">
        <f ca="1">'Fruit Trees'!G50</f>
        <v>50</v>
      </c>
    </row>
    <row r="55" spans="1:6" ht="12.75" x14ac:dyDescent="0.2">
      <c r="A55" s="51" t="str">
        <f ca="1">'Fruit Trees'!A51</f>
        <v>Currant - Rovada Red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0.5-1'</v>
      </c>
      <c r="E55" s="75">
        <f ca="1">'Fruit Trees'!F51</f>
        <v>1</v>
      </c>
      <c r="F55" s="76">
        <f ca="1">'Fruit Trees'!G51</f>
        <v>45</v>
      </c>
    </row>
    <row r="56" spans="1:6" ht="12.75" x14ac:dyDescent="0.2">
      <c r="A56" s="51" t="str">
        <f ca="1">'Fruit Trees'!A52</f>
        <v>Elderberry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3-7'</v>
      </c>
      <c r="E56" s="75">
        <f ca="1">'Fruit Trees'!F52</f>
        <v>81</v>
      </c>
      <c r="F56" s="76">
        <f ca="1">'Fruit Trees'!G52</f>
        <v>35</v>
      </c>
    </row>
    <row r="57" spans="1:6" ht="12.75" x14ac:dyDescent="0.2">
      <c r="A57" s="51" t="str">
        <f ca="1">'Fruit Trees'!A53</f>
        <v>Elderberry - Pocahontas</v>
      </c>
      <c r="B57" s="51" t="str">
        <f ca="1">'Fruit Trees'!C53</f>
        <v>#5</v>
      </c>
      <c r="C57" s="51" t="str">
        <f ca="1">'Fruit Trees'!D53</f>
        <v>Multi</v>
      </c>
      <c r="D57" s="51" t="str">
        <f ca="1">'Fruit Trees'!E53</f>
        <v>3-4'</v>
      </c>
      <c r="E57" s="75">
        <f ca="1">'Fruit Trees'!F53</f>
        <v>67</v>
      </c>
      <c r="F57" s="76">
        <f ca="1">'Fruit Trees'!G53</f>
        <v>35</v>
      </c>
    </row>
    <row r="58" spans="1:6" ht="12.75" x14ac:dyDescent="0.2">
      <c r="A58" s="51" t="str">
        <f ca="1">'Fruit Trees'!A54</f>
        <v>Elderberry - York</v>
      </c>
      <c r="B58" s="51" t="str">
        <f ca="1">'Fruit Trees'!C54</f>
        <v>#5</v>
      </c>
      <c r="C58" s="51" t="str">
        <f ca="1">'Fruit Trees'!D54</f>
        <v>Multi</v>
      </c>
      <c r="D58" s="51" t="str">
        <f ca="1">'Fruit Trees'!E54</f>
        <v>3-5'</v>
      </c>
      <c r="E58" s="75">
        <f ca="1">'Fruit Trees'!F54</f>
        <v>176</v>
      </c>
      <c r="F58" s="76">
        <f ca="1">'Fruit Trees'!G54</f>
        <v>35</v>
      </c>
    </row>
    <row r="59" spans="1:6" ht="12.75" x14ac:dyDescent="0.2">
      <c r="A59" s="51" t="str">
        <f ca="1">'Fruit Trees'!A55</f>
        <v>Fig - Black Mission</v>
      </c>
      <c r="B59" s="51" t="str">
        <f ca="1">'Fruit Trees'!C55</f>
        <v>#5</v>
      </c>
      <c r="C59" s="51" t="str">
        <f ca="1">'Fruit Trees'!D55</f>
        <v>Multi</v>
      </c>
      <c r="D59" s="51" t="str">
        <f ca="1">'Fruit Trees'!E55</f>
        <v>1-2.5'</v>
      </c>
      <c r="E59" s="75">
        <f ca="1">'Fruit Trees'!F55</f>
        <v>29</v>
      </c>
      <c r="F59" s="76">
        <f ca="1">'Fruit Trees'!G55</f>
        <v>35</v>
      </c>
    </row>
    <row r="60" spans="1:6" ht="12.75" x14ac:dyDescent="0.2">
      <c r="A60" s="51" t="str">
        <f ca="1">'Fruit Trees'!A56</f>
        <v>Fig - Brown Turkey</v>
      </c>
      <c r="B60" s="51" t="str">
        <f ca="1">'Fruit Trees'!C56</f>
        <v>#5</v>
      </c>
      <c r="C60" s="51" t="str">
        <f ca="1">'Fruit Trees'!D56</f>
        <v>Multi</v>
      </c>
      <c r="D60" s="51" t="str">
        <f ca="1">'Fruit Trees'!E56</f>
        <v>1-2'</v>
      </c>
      <c r="E60" s="75">
        <f ca="1">'Fruit Trees'!F56</f>
        <v>26</v>
      </c>
      <c r="F60" s="76">
        <f ca="1">'Fruit Trees'!G56</f>
        <v>35</v>
      </c>
    </row>
    <row r="61" spans="1:6" ht="12.75" x14ac:dyDescent="0.2">
      <c r="A61" s="51" t="str">
        <f ca="1">'Fruit Trees'!A57</f>
        <v>Fig - Celeste</v>
      </c>
      <c r="B61" s="51" t="str">
        <f ca="1">'Fruit Trees'!C57</f>
        <v>#5</v>
      </c>
      <c r="C61" s="51" t="str">
        <f ca="1">'Fruit Trees'!D57</f>
        <v>Multi</v>
      </c>
      <c r="D61" s="51" t="str">
        <f ca="1">'Fruit Trees'!E57</f>
        <v>1-2'</v>
      </c>
      <c r="E61" s="75">
        <f ca="1">'Fruit Trees'!F57</f>
        <v>43</v>
      </c>
      <c r="F61" s="76">
        <f ca="1">'Fruit Trees'!G57</f>
        <v>35</v>
      </c>
    </row>
    <row r="62" spans="1:6" ht="12.75" x14ac:dyDescent="0.2">
      <c r="A62" s="51" t="str">
        <f ca="1">'Fruit Trees'!A58</f>
        <v>Fig - Chicago Hardy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2-2.5'</v>
      </c>
      <c r="E62" s="75">
        <f ca="1">'Fruit Trees'!F58</f>
        <v>138</v>
      </c>
      <c r="F62" s="76">
        <f ca="1">'Fruit Trees'!G58</f>
        <v>35</v>
      </c>
    </row>
    <row r="63" spans="1:6" ht="12.75" x14ac:dyDescent="0.2">
      <c r="A63" s="51" t="str">
        <f ca="1">'Fruit Trees'!A59</f>
        <v>Fig - Italian Honey</v>
      </c>
      <c r="B63" s="51" t="str">
        <f ca="1">'Fruit Trees'!C59</f>
        <v>#5</v>
      </c>
      <c r="C63" s="51" t="str">
        <f ca="1">'Fruit Trees'!D59</f>
        <v>Multi</v>
      </c>
      <c r="D63" s="51" t="str">
        <f ca="1">'Fruit Trees'!E59</f>
        <v>1-2.5'</v>
      </c>
      <c r="E63" s="75">
        <f ca="1">'Fruit Trees'!F59</f>
        <v>12</v>
      </c>
      <c r="F63" s="76">
        <f ca="1">'Fruit Trees'!G59</f>
        <v>35</v>
      </c>
    </row>
    <row r="64" spans="1:6" ht="12.75" x14ac:dyDescent="0.2">
      <c r="A64" s="51" t="str">
        <f ca="1">'Fruit Trees'!A60</f>
        <v>Gooseberry - Hinnomaki Red</v>
      </c>
      <c r="B64" s="51" t="str">
        <f ca="1">'Fruit Trees'!C60</f>
        <v>#5</v>
      </c>
      <c r="C64" s="51" t="str">
        <f ca="1">'Fruit Trees'!D60</f>
        <v>Multi</v>
      </c>
      <c r="D64" s="51" t="str">
        <f ca="1">'Fruit Trees'!E60</f>
        <v>1-1'</v>
      </c>
      <c r="E64" s="75">
        <f ca="1">'Fruit Trees'!F60</f>
        <v>11</v>
      </c>
      <c r="F64" s="76">
        <f ca="1">'Fruit Trees'!G60</f>
        <v>45</v>
      </c>
    </row>
    <row r="65" spans="1:6" ht="12.75" x14ac:dyDescent="0.2">
      <c r="A65" s="51" t="str">
        <f ca="1">'Fruit Trees'!A61</f>
        <v>Gooseberry - Invicta Green</v>
      </c>
      <c r="B65" s="51" t="str">
        <f ca="1">'Fruit Trees'!C61</f>
        <v>#5</v>
      </c>
      <c r="C65" s="51" t="str">
        <f ca="1">'Fruit Trees'!D61</f>
        <v>Multi</v>
      </c>
      <c r="D65" s="51" t="str">
        <f ca="1">'Fruit Trees'!E61</f>
        <v>1-1.5'</v>
      </c>
      <c r="E65" s="75">
        <f ca="1">'Fruit Trees'!F61</f>
        <v>21</v>
      </c>
      <c r="F65" s="76">
        <f ca="1">'Fruit Trees'!G61</f>
        <v>45</v>
      </c>
    </row>
    <row r="66" spans="1:6" ht="12.75" x14ac:dyDescent="0.2">
      <c r="A66" s="51" t="str">
        <f ca="1">'Fruit Trees'!A62</f>
        <v>Grape - Concord (seeded)</v>
      </c>
      <c r="B66" s="51" t="str">
        <f ca="1">'Fruit Trees'!C62</f>
        <v>#7</v>
      </c>
      <c r="C66" s="51" t="str">
        <f ca="1">'Fruit Trees'!D62</f>
        <v>Vine</v>
      </c>
      <c r="D66" s="51" t="str">
        <f ca="1">'Fruit Trees'!E62</f>
        <v>5-6'</v>
      </c>
      <c r="E66" s="75">
        <f ca="1">'Fruit Trees'!F62</f>
        <v>1</v>
      </c>
      <c r="F66" s="76">
        <f ca="1">'Fruit Trees'!G62</f>
        <v>50</v>
      </c>
    </row>
    <row r="67" spans="1:6" ht="12.75" x14ac:dyDescent="0.2">
      <c r="A67" s="51" t="str">
        <f ca="1">'Fruit Trees'!A63</f>
        <v>Hardy Kiwi - Prolific</v>
      </c>
      <c r="B67" s="51" t="str">
        <f ca="1">'Fruit Trees'!C63</f>
        <v>#5</v>
      </c>
      <c r="C67" s="51" t="str">
        <f ca="1">'Fruit Trees'!D63</f>
        <v>Vine</v>
      </c>
      <c r="D67" s="51" t="str">
        <f ca="1">'Fruit Trees'!E63</f>
        <v>6-7'</v>
      </c>
      <c r="E67" s="75">
        <f ca="1">'Fruit Trees'!F63</f>
        <v>19</v>
      </c>
      <c r="F67" s="76">
        <f ca="1">'Fruit Trees'!G63</f>
        <v>37</v>
      </c>
    </row>
    <row r="68" spans="1:6" ht="12.75" x14ac:dyDescent="0.2">
      <c r="A68" s="51" t="str">
        <f ca="1">'Fruit Trees'!A64</f>
        <v>Jujube - GA 866</v>
      </c>
      <c r="B68" s="51" t="str">
        <f ca="1">'Fruit Trees'!C64</f>
        <v>#5</v>
      </c>
      <c r="C68" s="51" t="str">
        <f ca="1">'Fruit Trees'!D64</f>
        <v>0.75-1"</v>
      </c>
      <c r="D68" s="51" t="str">
        <f ca="1">'Fruit Trees'!E64</f>
        <v>8-10'</v>
      </c>
      <c r="E68" s="75">
        <f ca="1">'Fruit Trees'!F64</f>
        <v>50</v>
      </c>
      <c r="F68" s="76">
        <f ca="1">'Fruit Trees'!G64</f>
        <v>100</v>
      </c>
    </row>
    <row r="69" spans="1:6" ht="12.75" x14ac:dyDescent="0.2">
      <c r="A69" s="51" t="str">
        <f ca="1">'Fruit Trees'!A65</f>
        <v>Jujube - GA 866</v>
      </c>
      <c r="B69" s="51" t="str">
        <f ca="1">'Fruit Trees'!C65</f>
        <v>#7</v>
      </c>
      <c r="C69" s="51" t="str">
        <f ca="1">'Fruit Trees'!D65</f>
        <v>0.75-1"</v>
      </c>
      <c r="D69" s="51" t="str">
        <f ca="1">'Fruit Trees'!E65</f>
        <v>7-10'</v>
      </c>
      <c r="E69" s="75">
        <f ca="1">'Fruit Trees'!F65</f>
        <v>25</v>
      </c>
      <c r="F69" s="76">
        <f ca="1">'Fruit Trees'!G65</f>
        <v>100</v>
      </c>
    </row>
    <row r="70" spans="1:6" ht="12.75" x14ac:dyDescent="0.2">
      <c r="A70" s="51" t="str">
        <f ca="1">'Fruit Trees'!A66</f>
        <v>Jujube - Lang</v>
      </c>
      <c r="B70" s="51" t="str">
        <f ca="1">'Fruit Trees'!C66</f>
        <v>#5</v>
      </c>
      <c r="C70" s="51" t="str">
        <f ca="1">'Fruit Trees'!D66</f>
        <v>0.75-1"</v>
      </c>
      <c r="D70" s="51" t="str">
        <f ca="1">'Fruit Trees'!E66</f>
        <v>5-7'</v>
      </c>
      <c r="E70" s="75">
        <f ca="1">'Fruit Trees'!F66</f>
        <v>34</v>
      </c>
      <c r="F70" s="76">
        <f ca="1">'Fruit Trees'!G66</f>
        <v>100</v>
      </c>
    </row>
    <row r="71" spans="1:6" ht="12.75" x14ac:dyDescent="0.2">
      <c r="A71" s="51" t="str">
        <f ca="1">'Fruit Trees'!A67</f>
        <v>Jujube - Lang</v>
      </c>
      <c r="B71" s="51" t="str">
        <f ca="1">'Fruit Trees'!C67</f>
        <v>#7</v>
      </c>
      <c r="C71" s="51" t="str">
        <f ca="1">'Fruit Trees'!D67</f>
        <v>0.75-1"</v>
      </c>
      <c r="D71" s="51" t="str">
        <f ca="1">'Fruit Trees'!E67</f>
        <v>6-8'</v>
      </c>
      <c r="E71" s="75">
        <f ca="1">'Fruit Trees'!F67</f>
        <v>7</v>
      </c>
      <c r="F71" s="76">
        <f ca="1">'Fruit Trees'!G67</f>
        <v>100</v>
      </c>
    </row>
    <row r="72" spans="1:6" ht="12.75" x14ac:dyDescent="0.2">
      <c r="A72" s="51" t="str">
        <f ca="1">'Fruit Trees'!A68</f>
        <v>Jujube - Li</v>
      </c>
      <c r="B72" s="51" t="str">
        <f ca="1">'Fruit Trees'!C68</f>
        <v>#5</v>
      </c>
      <c r="C72" s="51" t="str">
        <f ca="1">'Fruit Trees'!D68</f>
        <v>0.5-1"</v>
      </c>
      <c r="D72" s="51" t="str">
        <f ca="1">'Fruit Trees'!E68</f>
        <v>4-9'</v>
      </c>
      <c r="E72" s="75">
        <f ca="1">'Fruit Trees'!F68</f>
        <v>177</v>
      </c>
      <c r="F72" s="76">
        <f ca="1">'Fruit Trees'!G68</f>
        <v>100</v>
      </c>
    </row>
    <row r="73" spans="1:6" ht="12.75" x14ac:dyDescent="0.2">
      <c r="A73" s="51" t="str">
        <f ca="1">'Fruit Trees'!A69</f>
        <v>Jujube - Li</v>
      </c>
      <c r="B73" s="51" t="str">
        <f ca="1">'Fruit Trees'!C69</f>
        <v>#7</v>
      </c>
      <c r="C73" s="51" t="str">
        <f ca="1">'Fruit Trees'!D69</f>
        <v>0.75-1"</v>
      </c>
      <c r="D73" s="51" t="str">
        <f ca="1">'Fruit Trees'!E69</f>
        <v>6-10'</v>
      </c>
      <c r="E73" s="75">
        <f ca="1">'Fruit Trees'!F69</f>
        <v>10</v>
      </c>
      <c r="F73" s="76">
        <f ca="1">'Fruit Trees'!G69</f>
        <v>100</v>
      </c>
    </row>
    <row r="74" spans="1:6" ht="12.75" x14ac:dyDescent="0.2">
      <c r="A74" s="51" t="str">
        <f ca="1">'Fruit Trees'!A70</f>
        <v>Jujube - Sugar Cane</v>
      </c>
      <c r="B74" s="51" t="str">
        <f ca="1">'Fruit Trees'!C70</f>
        <v>#5</v>
      </c>
      <c r="C74" s="51" t="str">
        <f ca="1">'Fruit Trees'!D70</f>
        <v>0.5-1"</v>
      </c>
      <c r="D74" s="51" t="str">
        <f ca="1">'Fruit Trees'!E70</f>
        <v>5-10'</v>
      </c>
      <c r="E74" s="75">
        <f ca="1">'Fruit Trees'!F70</f>
        <v>158</v>
      </c>
      <c r="F74" s="76">
        <f ca="1">'Fruit Trees'!G70</f>
        <v>100</v>
      </c>
    </row>
    <row r="75" spans="1:6" ht="12.75" x14ac:dyDescent="0.2">
      <c r="A75" s="51" t="str">
        <f ca="1">'Fruit Trees'!A71</f>
        <v>Mulberry - Red</v>
      </c>
      <c r="B75" s="51" t="str">
        <f ca="1">'Fruit Trees'!C71</f>
        <v>#5</v>
      </c>
      <c r="C75" s="51" t="str">
        <f ca="1">'Fruit Trees'!D71</f>
        <v>0.5-1.5"</v>
      </c>
      <c r="D75" s="51" t="str">
        <f ca="1">'Fruit Trees'!E71</f>
        <v>4-10'</v>
      </c>
      <c r="E75" s="75">
        <f ca="1">'Fruit Trees'!F71</f>
        <v>41</v>
      </c>
      <c r="F75" s="76">
        <f ca="1">'Fruit Trees'!G71</f>
        <v>50</v>
      </c>
    </row>
    <row r="76" spans="1:6" ht="12.75" x14ac:dyDescent="0.2">
      <c r="A76" s="51" t="str">
        <f ca="1">'Fruit Trees'!A72</f>
        <v>Mulberry - White</v>
      </c>
      <c r="B76" s="51" t="str">
        <f ca="1">'Fruit Trees'!C72</f>
        <v>#5</v>
      </c>
      <c r="C76" s="51" t="str">
        <f ca="1">'Fruit Trees'!D72</f>
        <v>1-1.5"</v>
      </c>
      <c r="D76" s="51" t="str">
        <f ca="1">'Fruit Trees'!E72</f>
        <v>6-9'</v>
      </c>
      <c r="E76" s="75">
        <f ca="1">'Fruit Trees'!F72</f>
        <v>5</v>
      </c>
      <c r="F76" s="76">
        <f ca="1">'Fruit Trees'!G72</f>
        <v>50</v>
      </c>
    </row>
    <row r="77" spans="1:6" ht="12.75" x14ac:dyDescent="0.2">
      <c r="A77" s="51" t="str">
        <f ca="1">'Fruit Trees'!A73</f>
        <v>Nectarine - Fantasia</v>
      </c>
      <c r="B77" s="51" t="str">
        <f ca="1">'Fruit Trees'!C73</f>
        <v>#5</v>
      </c>
      <c r="C77" s="51" t="str">
        <f ca="1">'Fruit Trees'!D73</f>
        <v>1-1.25"</v>
      </c>
      <c r="D77" s="51" t="str">
        <f ca="1">'Fruit Trees'!E73</f>
        <v>6-7'</v>
      </c>
      <c r="E77" s="75">
        <f ca="1">'Fruit Trees'!F73</f>
        <v>2</v>
      </c>
      <c r="F77" s="76">
        <f ca="1">'Fruit Trees'!G73</f>
        <v>55</v>
      </c>
    </row>
    <row r="78" spans="1:6" ht="12.75" x14ac:dyDescent="0.2">
      <c r="A78" s="51" t="str">
        <f ca="1">'Fruit Trees'!A74</f>
        <v>Nectarine - Flavortop</v>
      </c>
      <c r="B78" s="51" t="str">
        <f ca="1">'Fruit Trees'!C74</f>
        <v>#5</v>
      </c>
      <c r="C78" s="51" t="str">
        <f ca="1">'Fruit Trees'!D74</f>
        <v>1-1.25"</v>
      </c>
      <c r="D78" s="51" t="str">
        <f ca="1">'Fruit Trees'!E74</f>
        <v>6-7'</v>
      </c>
      <c r="E78" s="75">
        <f ca="1">'Fruit Trees'!F74</f>
        <v>40</v>
      </c>
      <c r="F78" s="76">
        <f ca="1">'Fruit Trees'!G74</f>
        <v>55</v>
      </c>
    </row>
    <row r="79" spans="1:6" ht="12.75" x14ac:dyDescent="0.2">
      <c r="A79" s="51" t="str">
        <f ca="1">'Fruit Trees'!A75</f>
        <v>Nectarine - Independence</v>
      </c>
      <c r="B79" s="51" t="str">
        <f ca="1">'Fruit Trees'!C75</f>
        <v>#5</v>
      </c>
      <c r="C79" s="51" t="str">
        <f ca="1">'Fruit Trees'!D75</f>
        <v>0.75-1"</v>
      </c>
      <c r="D79" s="51" t="str">
        <f ca="1">'Fruit Trees'!E75</f>
        <v>5-7'</v>
      </c>
      <c r="E79" s="75">
        <f ca="1">'Fruit Trees'!F75</f>
        <v>41</v>
      </c>
      <c r="F79" s="76">
        <f ca="1">'Fruit Trees'!G75</f>
        <v>55</v>
      </c>
    </row>
    <row r="80" spans="1:6" ht="12.75" x14ac:dyDescent="0.2">
      <c r="A80" s="51" t="str">
        <f ca="1">'Fruit Trees'!A76</f>
        <v>Nectarine - Redgold</v>
      </c>
      <c r="B80" s="51" t="str">
        <f ca="1">'Fruit Trees'!C76</f>
        <v>#5</v>
      </c>
      <c r="C80" s="51" t="str">
        <f ca="1">'Fruit Trees'!D76</f>
        <v>0.75-1"</v>
      </c>
      <c r="D80" s="51" t="str">
        <f ca="1">'Fruit Trees'!E76</f>
        <v>4-5'</v>
      </c>
      <c r="E80" s="75">
        <f ca="1">'Fruit Trees'!F76</f>
        <v>64</v>
      </c>
      <c r="F80" s="76">
        <f ca="1">'Fruit Trees'!G76</f>
        <v>55</v>
      </c>
    </row>
    <row r="81" spans="1:6" ht="12.75" x14ac:dyDescent="0.2">
      <c r="A81" s="51" t="str">
        <f ca="1">'Fruit Trees'!A77</f>
        <v>Nectarine (White) - Arctic Glo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4-6'</v>
      </c>
      <c r="E81" s="75">
        <f ca="1">'Fruit Trees'!F77</f>
        <v>56</v>
      </c>
      <c r="F81" s="76">
        <f ca="1">'Fruit Trees'!G77</f>
        <v>55</v>
      </c>
    </row>
    <row r="82" spans="1:6" ht="12.75" x14ac:dyDescent="0.2">
      <c r="A82" s="51" t="str">
        <f ca="1">'Fruit Trees'!A78</f>
        <v>Nectarine (White) - Arctic Glo</v>
      </c>
      <c r="B82" s="51" t="str">
        <f ca="1">'Fruit Trees'!C78</f>
        <v>#7</v>
      </c>
      <c r="C82" s="51" t="str">
        <f ca="1">'Fruit Trees'!D78</f>
        <v>0.75-1"</v>
      </c>
      <c r="D82" s="51" t="str">
        <f ca="1">'Fruit Trees'!E78</f>
        <v>5-6'</v>
      </c>
      <c r="E82" s="75">
        <f ca="1">'Fruit Trees'!F78</f>
        <v>20</v>
      </c>
      <c r="F82" s="76">
        <f ca="1">'Fruit Trees'!G78</f>
        <v>80</v>
      </c>
    </row>
    <row r="83" spans="1:6" ht="12.75" x14ac:dyDescent="0.2">
      <c r="A83" s="51" t="str">
        <f ca="1">'Fruit Trees'!A79</f>
        <v>Nectarine (White) - Arctic Sweet</v>
      </c>
      <c r="B83" s="51" t="str">
        <f ca="1">'Fruit Trees'!C79</f>
        <v>#7</v>
      </c>
      <c r="C83" s="51" t="str">
        <f ca="1">'Fruit Trees'!D79</f>
        <v>1.25-1.5"</v>
      </c>
      <c r="D83" s="51" t="str">
        <f ca="1">'Fruit Trees'!E79</f>
        <v>9-10'</v>
      </c>
      <c r="E83" s="75">
        <f ca="1">'Fruit Trees'!F79</f>
        <v>23</v>
      </c>
      <c r="F83" s="76">
        <f ca="1">'Fruit Trees'!G79</f>
        <v>80</v>
      </c>
    </row>
    <row r="84" spans="1:6" ht="12.75" x14ac:dyDescent="0.2">
      <c r="A84" s="51" t="str">
        <f ca="1">'Fruit Trees'!A80</f>
        <v>Pawpaw</v>
      </c>
      <c r="B84" s="51" t="str">
        <f ca="1">'Fruit Trees'!C80</f>
        <v>#5</v>
      </c>
      <c r="C84" s="51" t="str">
        <f ca="1">'Fruit Trees'!D80</f>
        <v>0.25-0.5"</v>
      </c>
      <c r="D84" s="51" t="str">
        <f ca="1">'Fruit Trees'!E80</f>
        <v>1-4'</v>
      </c>
      <c r="E84" s="75">
        <f ca="1">'Fruit Trees'!F80</f>
        <v>69</v>
      </c>
      <c r="F84" s="76">
        <f ca="1">'Fruit Trees'!G80</f>
        <v>50</v>
      </c>
    </row>
    <row r="85" spans="1:6" ht="12.75" x14ac:dyDescent="0.2">
      <c r="A85" s="51" t="str">
        <f ca="1">'Fruit Trees'!A81</f>
        <v>Pawpaw - Allegheny</v>
      </c>
      <c r="B85" s="51" t="str">
        <f ca="1">'Fruit Trees'!C81</f>
        <v>#5</v>
      </c>
      <c r="C85" s="51" t="str">
        <f ca="1">'Fruit Trees'!D81</f>
        <v>0.25-0.5"</v>
      </c>
      <c r="D85" s="51" t="str">
        <f ca="1">'Fruit Trees'!E81</f>
        <v>2-4.5'</v>
      </c>
      <c r="E85" s="75">
        <f ca="1">'Fruit Trees'!F81</f>
        <v>12</v>
      </c>
      <c r="F85" s="76">
        <f ca="1">'Fruit Trees'!G81</f>
        <v>100</v>
      </c>
    </row>
    <row r="86" spans="1:6" ht="12.75" x14ac:dyDescent="0.2">
      <c r="A86" s="51" t="str">
        <f ca="1">'Fruit Trees'!A82</f>
        <v>Pawpaw - NC-1</v>
      </c>
      <c r="B86" s="51" t="str">
        <f ca="1">'Fruit Trees'!C82</f>
        <v>#5</v>
      </c>
      <c r="C86" s="51" t="str">
        <f ca="1">'Fruit Trees'!D82</f>
        <v>0.25-0.5"</v>
      </c>
      <c r="D86" s="51" t="str">
        <f ca="1">'Fruit Trees'!E82</f>
        <v>2-3'</v>
      </c>
      <c r="E86" s="75">
        <f ca="1">'Fruit Trees'!F82</f>
        <v>47</v>
      </c>
      <c r="F86" s="76">
        <f ca="1">'Fruit Trees'!G82</f>
        <v>100</v>
      </c>
    </row>
    <row r="87" spans="1:6" ht="12.75" x14ac:dyDescent="0.2">
      <c r="A87" s="51" t="str">
        <f ca="1">'Fruit Trees'!A83</f>
        <v>Pawpaw - Potomac</v>
      </c>
      <c r="B87" s="51" t="str">
        <f ca="1">'Fruit Trees'!C83</f>
        <v>#5</v>
      </c>
      <c r="C87" s="51" t="str">
        <f ca="1">'Fruit Trees'!D83</f>
        <v>0.25-0.5"</v>
      </c>
      <c r="D87" s="51" t="str">
        <f ca="1">'Fruit Trees'!E83</f>
        <v>1-4.5'</v>
      </c>
      <c r="E87" s="75">
        <f ca="1">'Fruit Trees'!F83</f>
        <v>51</v>
      </c>
      <c r="F87" s="76">
        <f ca="1">'Fruit Trees'!G83</f>
        <v>100</v>
      </c>
    </row>
    <row r="88" spans="1:6" ht="12.75" x14ac:dyDescent="0.2">
      <c r="A88" s="51" t="str">
        <f ca="1">'Fruit Trees'!A84</f>
        <v>Pawpaw - Shenandoah</v>
      </c>
      <c r="B88" s="51" t="str">
        <f ca="1">'Fruit Trees'!C84</f>
        <v>#5</v>
      </c>
      <c r="C88" s="51" t="str">
        <f ca="1">'Fruit Trees'!D84</f>
        <v>0.25-0.5"</v>
      </c>
      <c r="D88" s="51" t="str">
        <f ca="1">'Fruit Trees'!E84</f>
        <v>2-4'</v>
      </c>
      <c r="E88" s="75">
        <f ca="1">'Fruit Trees'!F84</f>
        <v>7</v>
      </c>
      <c r="F88" s="76">
        <f ca="1">'Fruit Trees'!G84</f>
        <v>100</v>
      </c>
    </row>
    <row r="89" spans="1:6" ht="12.75" x14ac:dyDescent="0.2">
      <c r="A89" s="51" t="str">
        <f ca="1">'Fruit Trees'!A85</f>
        <v>Pawpaw - Wabash</v>
      </c>
      <c r="B89" s="51" t="str">
        <f ca="1">'Fruit Trees'!C85</f>
        <v>#5</v>
      </c>
      <c r="C89" s="51" t="str">
        <f ca="1">'Fruit Trees'!D85</f>
        <v>0.25-0.25"</v>
      </c>
      <c r="D89" s="51" t="str">
        <f ca="1">'Fruit Trees'!E85</f>
        <v>1-3'</v>
      </c>
      <c r="E89" s="75">
        <f ca="1">'Fruit Trees'!F85</f>
        <v>22</v>
      </c>
      <c r="F89" s="76">
        <f ca="1">'Fruit Trees'!G85</f>
        <v>100</v>
      </c>
    </row>
    <row r="90" spans="1:6" ht="12.75" x14ac:dyDescent="0.2">
      <c r="A90" s="51" t="str">
        <f ca="1">'Fruit Trees'!A86</f>
        <v>Peach - Contender</v>
      </c>
      <c r="B90" s="51" t="str">
        <f ca="1">'Fruit Trees'!C86</f>
        <v>#5</v>
      </c>
      <c r="C90" s="51" t="str">
        <f ca="1">'Fruit Trees'!D86</f>
        <v>0.75-1"</v>
      </c>
      <c r="D90" s="51" t="str">
        <f ca="1">'Fruit Trees'!E86</f>
        <v>4-6'</v>
      </c>
      <c r="E90" s="75">
        <f ca="1">'Fruit Trees'!F86</f>
        <v>15</v>
      </c>
      <c r="F90" s="76">
        <f ca="1">'Fruit Trees'!G86</f>
        <v>55</v>
      </c>
    </row>
    <row r="91" spans="1:6" ht="12.75" x14ac:dyDescent="0.2">
      <c r="A91" s="51" t="str">
        <f ca="1">'Fruit Trees'!A87</f>
        <v>Peach - Cresthaven</v>
      </c>
      <c r="B91" s="51" t="str">
        <f ca="1">'Fruit Trees'!C87</f>
        <v>#5</v>
      </c>
      <c r="C91" s="51" t="str">
        <f ca="1">'Fruit Trees'!D87</f>
        <v>0.75-0.75"</v>
      </c>
      <c r="D91" s="51" t="str">
        <f ca="1">'Fruit Trees'!E87</f>
        <v>4-6'</v>
      </c>
      <c r="E91" s="75">
        <f ca="1">'Fruit Trees'!F87</f>
        <v>33</v>
      </c>
      <c r="F91" s="76">
        <f ca="1">'Fruit Trees'!G87</f>
        <v>55</v>
      </c>
    </row>
    <row r="92" spans="1:6" ht="12.75" x14ac:dyDescent="0.2">
      <c r="A92" s="51" t="str">
        <f ca="1">'Fruit Trees'!A88</f>
        <v>Peach - Harvester</v>
      </c>
      <c r="B92" s="51" t="str">
        <f ca="1">'Fruit Trees'!C88</f>
        <v>#5</v>
      </c>
      <c r="C92" s="51" t="str">
        <f ca="1">'Fruit Trees'!D88</f>
        <v>0.5-1.25"</v>
      </c>
      <c r="D92" s="51" t="str">
        <f ca="1">'Fruit Trees'!E88</f>
        <v>4-8'</v>
      </c>
      <c r="E92" s="75">
        <f ca="1">'Fruit Trees'!F88</f>
        <v>67</v>
      </c>
      <c r="F92" s="76">
        <f ca="1">'Fruit Trees'!G88</f>
        <v>55</v>
      </c>
    </row>
    <row r="93" spans="1:6" ht="12.75" x14ac:dyDescent="0.2">
      <c r="A93" s="51" t="str">
        <f ca="1">'Fruit Trees'!A89</f>
        <v>Peach - Redhaven</v>
      </c>
      <c r="B93" s="51" t="str">
        <f ca="1">'Fruit Trees'!C89</f>
        <v>#5</v>
      </c>
      <c r="C93" s="51" t="str">
        <f ca="1">'Fruit Trees'!D89</f>
        <v>0.75-1"</v>
      </c>
      <c r="D93" s="51" t="str">
        <f ca="1">'Fruit Trees'!E89</f>
        <v>4-8'</v>
      </c>
      <c r="E93" s="75">
        <f ca="1">'Fruit Trees'!F89</f>
        <v>1</v>
      </c>
      <c r="F93" s="76">
        <f ca="1">'Fruit Trees'!G89</f>
        <v>55</v>
      </c>
    </row>
    <row r="94" spans="1:6" ht="12.75" x14ac:dyDescent="0.2">
      <c r="A94" s="51" t="str">
        <f ca="1">'Fruit Trees'!A90</f>
        <v>Peach - Redskin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4-5'</v>
      </c>
      <c r="E94" s="75">
        <f ca="1">'Fruit Trees'!F90</f>
        <v>21</v>
      </c>
      <c r="F94" s="76">
        <f ca="1">'Fruit Trees'!G90</f>
        <v>55</v>
      </c>
    </row>
    <row r="95" spans="1:6" ht="12.75" x14ac:dyDescent="0.2">
      <c r="A95" s="51" t="str">
        <f ca="1">'Fruit Trees'!A91</f>
        <v>Peach - Sugar May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4-5'</v>
      </c>
      <c r="E95" s="75">
        <f ca="1">'Fruit Trees'!F91</f>
        <v>17</v>
      </c>
      <c r="F95" s="76">
        <f ca="1">'Fruit Trees'!G91</f>
        <v>55</v>
      </c>
    </row>
    <row r="96" spans="1:6" ht="12.75" x14ac:dyDescent="0.2">
      <c r="A96" s="51" t="str">
        <f ca="1">'Fruit Trees'!A92</f>
        <v>Peach (Donut White) - Galaxy</v>
      </c>
      <c r="B96" s="51" t="str">
        <f ca="1">'Fruit Trees'!C92</f>
        <v>#5</v>
      </c>
      <c r="C96" s="51" t="str">
        <f ca="1">'Fruit Trees'!D92</f>
        <v>0.75-1"</v>
      </c>
      <c r="D96" s="51" t="str">
        <f ca="1">'Fruit Trees'!E92</f>
        <v>5-7'</v>
      </c>
      <c r="E96" s="75">
        <f ca="1">'Fruit Trees'!F92</f>
        <v>119</v>
      </c>
      <c r="F96" s="76">
        <f ca="1">'Fruit Trees'!G92</f>
        <v>55</v>
      </c>
    </row>
    <row r="97" spans="1:6" ht="12.75" x14ac:dyDescent="0.2">
      <c r="A97" s="51" t="str">
        <f ca="1">'Fruit Trees'!A93</f>
        <v>Peach (Donut White) - Saturn</v>
      </c>
      <c r="B97" s="51" t="str">
        <f ca="1">'Fruit Trees'!C93</f>
        <v>#5</v>
      </c>
      <c r="C97" s="51" t="str">
        <f ca="1">'Fruit Trees'!D93</f>
        <v>0.75-1"</v>
      </c>
      <c r="D97" s="51" t="str">
        <f ca="1">'Fruit Trees'!E93</f>
        <v>5-9'</v>
      </c>
      <c r="E97" s="75">
        <f ca="1">'Fruit Trees'!F93</f>
        <v>114</v>
      </c>
      <c r="F97" s="76">
        <f ca="1">'Fruit Trees'!G93</f>
        <v>55</v>
      </c>
    </row>
    <row r="98" spans="1:6" ht="12.75" x14ac:dyDescent="0.2">
      <c r="A98" s="51" t="str">
        <f ca="1">'Fruit Trees'!A94</f>
        <v>Peach (White) - Snow Giant</v>
      </c>
      <c r="B98" s="51" t="str">
        <f ca="1">'Fruit Trees'!C94</f>
        <v>#5</v>
      </c>
      <c r="C98" s="51" t="str">
        <f ca="1">'Fruit Trees'!D94</f>
        <v>0.75-1"</v>
      </c>
      <c r="D98" s="51" t="str">
        <f ca="1">'Fruit Trees'!E94</f>
        <v>4-6'</v>
      </c>
      <c r="E98" s="75">
        <f ca="1">'Fruit Trees'!F94</f>
        <v>72</v>
      </c>
      <c r="F98" s="76">
        <f ca="1">'Fruit Trees'!G94</f>
        <v>55</v>
      </c>
    </row>
    <row r="99" spans="1:6" ht="12.75" x14ac:dyDescent="0.2">
      <c r="A99" s="51" t="str">
        <f ca="1">'Fruit Trees'!A95</f>
        <v>Peach (White) - Sugar Giant</v>
      </c>
      <c r="B99" s="51" t="str">
        <f ca="1">'Fruit Trees'!C95</f>
        <v>#5</v>
      </c>
      <c r="C99" s="51" t="str">
        <f ca="1">'Fruit Trees'!D95</f>
        <v>0.75-1"</v>
      </c>
      <c r="D99" s="51" t="str">
        <f ca="1">'Fruit Trees'!E95</f>
        <v>4-6'</v>
      </c>
      <c r="E99" s="75">
        <f ca="1">'Fruit Trees'!F95</f>
        <v>121</v>
      </c>
      <c r="F99" s="76">
        <f ca="1">'Fruit Trees'!G95</f>
        <v>55</v>
      </c>
    </row>
    <row r="100" spans="1:6" ht="12.75" x14ac:dyDescent="0.2">
      <c r="A100" s="51" t="str">
        <f ca="1">'Fruit Trees'!A96</f>
        <v>Peach (White) - White Lady</v>
      </c>
      <c r="B100" s="51" t="str">
        <f ca="1">'Fruit Trees'!C96</f>
        <v>#5</v>
      </c>
      <c r="C100" s="51" t="str">
        <f ca="1">'Fruit Trees'!D96</f>
        <v>0.75-1.25"</v>
      </c>
      <c r="D100" s="51" t="str">
        <f ca="1">'Fruit Trees'!E96</f>
        <v>5-8'</v>
      </c>
      <c r="E100" s="75">
        <f ca="1">'Fruit Trees'!F96</f>
        <v>168</v>
      </c>
      <c r="F100" s="76">
        <f ca="1">'Fruit Trees'!G96</f>
        <v>55</v>
      </c>
    </row>
    <row r="101" spans="1:6" ht="12.75" x14ac:dyDescent="0.2">
      <c r="A101" s="51" t="str">
        <f ca="1">'Fruit Trees'!A97</f>
        <v>Pear - 4in1 2 Tier Espalier</v>
      </c>
      <c r="B101" s="51" t="str">
        <f ca="1">'Fruit Trees'!C97</f>
        <v>#10</v>
      </c>
      <c r="C101" s="51" t="str">
        <f ca="1">'Fruit Trees'!D97</f>
        <v>0.75-1"</v>
      </c>
      <c r="D101" s="51" t="str">
        <f ca="1">'Fruit Trees'!E97</f>
        <v>4-6'</v>
      </c>
      <c r="E101" s="75">
        <f ca="1">'Fruit Trees'!F97</f>
        <v>2</v>
      </c>
      <c r="F101" s="76">
        <f ca="1">'Fruit Trees'!G97</f>
        <v>150</v>
      </c>
    </row>
    <row r="102" spans="1:6" ht="12.75" x14ac:dyDescent="0.2">
      <c r="A102" s="51" t="str">
        <f ca="1">'Fruit Trees'!A98</f>
        <v>Pear - Ayers</v>
      </c>
      <c r="B102" s="51" t="str">
        <f ca="1">'Fruit Trees'!C98</f>
        <v>#5</v>
      </c>
      <c r="C102" s="51" t="str">
        <f ca="1">'Fruit Trees'!D98</f>
        <v>0.75-1"</v>
      </c>
      <c r="D102" s="51" t="str">
        <f ca="1">'Fruit Trees'!E98</f>
        <v>6-9'</v>
      </c>
      <c r="E102" s="75">
        <f ca="1">'Fruit Trees'!F98</f>
        <v>41</v>
      </c>
      <c r="F102" s="76">
        <f ca="1">'Fruit Trees'!G98</f>
        <v>55</v>
      </c>
    </row>
    <row r="103" spans="1:6" ht="12.75" x14ac:dyDescent="0.2">
      <c r="A103" s="51" t="str">
        <f ca="1">'Fruit Trees'!A99</f>
        <v>Pear - Ayers</v>
      </c>
      <c r="B103" s="51" t="str">
        <f ca="1">'Fruit Trees'!C99</f>
        <v>#7</v>
      </c>
      <c r="C103" s="51" t="str">
        <f ca="1">'Fruit Trees'!D99</f>
        <v>0.75-1"</v>
      </c>
      <c r="D103" s="51" t="str">
        <f ca="1">'Fruit Trees'!E99</f>
        <v>7-12'</v>
      </c>
      <c r="E103" s="75">
        <f ca="1">'Fruit Trees'!F99</f>
        <v>11</v>
      </c>
      <c r="F103" s="76">
        <f ca="1">'Fruit Trees'!G99</f>
        <v>80</v>
      </c>
    </row>
    <row r="104" spans="1:6" ht="12.75" x14ac:dyDescent="0.2">
      <c r="A104" s="51" t="str">
        <f ca="1">'Fruit Trees'!A100</f>
        <v>Pear - Bartlett</v>
      </c>
      <c r="B104" s="51" t="str">
        <f ca="1">'Fruit Trees'!C100</f>
        <v>#5</v>
      </c>
      <c r="C104" s="51" t="str">
        <f ca="1">'Fruit Trees'!D100</f>
        <v>0.75-1"</v>
      </c>
      <c r="D104" s="51" t="str">
        <f ca="1">'Fruit Trees'!E100</f>
        <v>6-9'</v>
      </c>
      <c r="E104" s="75">
        <f ca="1">'Fruit Trees'!F100</f>
        <v>40</v>
      </c>
      <c r="F104" s="76">
        <f ca="1">'Fruit Trees'!G100</f>
        <v>55</v>
      </c>
    </row>
    <row r="105" spans="1:6" ht="12.75" x14ac:dyDescent="0.2">
      <c r="A105" s="51" t="str">
        <f ca="1">'Fruit Trees'!A101</f>
        <v>Pear - Bartlett</v>
      </c>
      <c r="B105" s="51" t="str">
        <f ca="1">'Fruit Trees'!C101</f>
        <v>#7</v>
      </c>
      <c r="C105" s="51" t="str">
        <f ca="1">'Fruit Trees'!D101</f>
        <v>0.75-1.25"</v>
      </c>
      <c r="D105" s="51" t="str">
        <f ca="1">'Fruit Trees'!E101</f>
        <v>6-10'</v>
      </c>
      <c r="E105" s="75">
        <f ca="1">'Fruit Trees'!F101</f>
        <v>168</v>
      </c>
      <c r="F105" s="76">
        <f ca="1">'Fruit Trees'!G101</f>
        <v>80</v>
      </c>
    </row>
    <row r="106" spans="1:6" ht="12.75" x14ac:dyDescent="0.2">
      <c r="A106" s="51" t="str">
        <f ca="1">'Fruit Trees'!A102</f>
        <v>Pear - Golden Russet Bosc</v>
      </c>
      <c r="B106" s="51" t="str">
        <f ca="1">'Fruit Trees'!C102</f>
        <v>#5</v>
      </c>
      <c r="C106" s="51" t="str">
        <f ca="1">'Fruit Trees'!D102</f>
        <v>1-1.25"</v>
      </c>
      <c r="D106" s="51" t="str">
        <f ca="1">'Fruit Trees'!E102</f>
        <v>9-10'</v>
      </c>
      <c r="E106" s="75">
        <f ca="1">'Fruit Trees'!F102</f>
        <v>3</v>
      </c>
      <c r="F106" s="76">
        <f ca="1">'Fruit Trees'!G102</f>
        <v>55</v>
      </c>
    </row>
    <row r="107" spans="1:6" ht="12.75" x14ac:dyDescent="0.2">
      <c r="A107" s="51" t="str">
        <f ca="1">'Fruit Trees'!A103</f>
        <v>Pear - Golden Russet Bosc</v>
      </c>
      <c r="B107" s="51" t="str">
        <f ca="1">'Fruit Trees'!C103</f>
        <v>#7</v>
      </c>
      <c r="C107" s="51" t="str">
        <f ca="1">'Fruit Trees'!D103</f>
        <v>0.75-1.25"</v>
      </c>
      <c r="D107" s="51" t="str">
        <f ca="1">'Fruit Trees'!E103</f>
        <v>7-11'</v>
      </c>
      <c r="E107" s="75">
        <f ca="1">'Fruit Trees'!F103</f>
        <v>73</v>
      </c>
      <c r="F107" s="76">
        <f ca="1">'Fruit Trees'!G103</f>
        <v>80</v>
      </c>
    </row>
    <row r="108" spans="1:6" ht="12.75" x14ac:dyDescent="0.2">
      <c r="A108" s="51" t="str">
        <f ca="1">'Fruit Trees'!A104</f>
        <v>Pear - Harrowsweet</v>
      </c>
      <c r="B108" s="51" t="str">
        <f ca="1">'Fruit Trees'!C104</f>
        <v>#5</v>
      </c>
      <c r="C108" s="51" t="str">
        <f ca="1">'Fruit Trees'!D104</f>
        <v>1-1"</v>
      </c>
      <c r="D108" s="51" t="str">
        <f ca="1">'Fruit Trees'!E104</f>
        <v>7-10'</v>
      </c>
      <c r="E108" s="75">
        <f ca="1">'Fruit Trees'!F104</f>
        <v>1</v>
      </c>
      <c r="F108" s="76">
        <f ca="1">'Fruit Trees'!G104</f>
        <v>55</v>
      </c>
    </row>
    <row r="109" spans="1:6" ht="12.75" x14ac:dyDescent="0.2">
      <c r="A109" s="51" t="str">
        <f ca="1">'Fruit Trees'!A105</f>
        <v>Pear - Harrowsweet</v>
      </c>
      <c r="B109" s="51" t="str">
        <f ca="1">'Fruit Trees'!C105</f>
        <v>#7</v>
      </c>
      <c r="C109" s="51" t="str">
        <f ca="1">'Fruit Trees'!D105</f>
        <v>0.75-1"</v>
      </c>
      <c r="D109" s="51" t="str">
        <f ca="1">'Fruit Trees'!E105</f>
        <v>8-10'</v>
      </c>
      <c r="E109" s="75">
        <f ca="1">'Fruit Trees'!F105</f>
        <v>59</v>
      </c>
      <c r="F109" s="76">
        <f ca="1">'Fruit Trees'!G105</f>
        <v>80</v>
      </c>
    </row>
    <row r="110" spans="1:6" ht="12.75" x14ac:dyDescent="0.2">
      <c r="A110" s="51" t="str">
        <f ca="1">'Fruit Trees'!A106</f>
        <v>Pear - Kieffer</v>
      </c>
      <c r="B110" s="51" t="str">
        <f ca="1">'Fruit Trees'!C106</f>
        <v>#5</v>
      </c>
      <c r="C110" s="51" t="str">
        <f ca="1">'Fruit Trees'!D106</f>
        <v>0.75-1"</v>
      </c>
      <c r="D110" s="51" t="str">
        <f ca="1">'Fruit Trees'!E106</f>
        <v>8-10'</v>
      </c>
      <c r="E110" s="75">
        <f ca="1">'Fruit Trees'!F106</f>
        <v>25</v>
      </c>
      <c r="F110" s="76">
        <f ca="1">'Fruit Trees'!G106</f>
        <v>55</v>
      </c>
    </row>
    <row r="111" spans="1:6" ht="12.75" x14ac:dyDescent="0.2">
      <c r="A111" s="51" t="str">
        <f ca="1">'Fruit Trees'!A107</f>
        <v>Pear - Kieffer</v>
      </c>
      <c r="B111" s="51" t="str">
        <f ca="1">'Fruit Trees'!C107</f>
        <v>#7</v>
      </c>
      <c r="C111" s="51" t="str">
        <f ca="1">'Fruit Trees'!D107</f>
        <v>1-1.25"</v>
      </c>
      <c r="D111" s="51" t="str">
        <f ca="1">'Fruit Trees'!E107</f>
        <v>8-10'</v>
      </c>
      <c r="E111" s="75">
        <f ca="1">'Fruit Trees'!F107</f>
        <v>37</v>
      </c>
      <c r="F111" s="76">
        <f ca="1">'Fruit Trees'!G107</f>
        <v>80</v>
      </c>
    </row>
    <row r="112" spans="1:6" ht="12.75" x14ac:dyDescent="0.2">
      <c r="A112" s="51" t="str">
        <f ca="1">'Fruit Trees'!A108</f>
        <v>Pear - Kieffer</v>
      </c>
      <c r="B112" s="51" t="str">
        <f ca="1">'Fruit Trees'!C108</f>
        <v>#10</v>
      </c>
      <c r="C112" s="51" t="str">
        <f ca="1">'Fruit Trees'!D108</f>
        <v>1-1.25"</v>
      </c>
      <c r="D112" s="51" t="str">
        <f ca="1">'Fruit Trees'!E108</f>
        <v>8-10'</v>
      </c>
      <c r="E112" s="75">
        <f ca="1">'Fruit Trees'!F108</f>
        <v>11</v>
      </c>
      <c r="F112" s="76">
        <f ca="1">'Fruit Trees'!G108</f>
        <v>100</v>
      </c>
    </row>
    <row r="113" spans="1:6" ht="12.75" x14ac:dyDescent="0.2">
      <c r="A113" s="51" t="str">
        <f ca="1">'Fruit Trees'!A109</f>
        <v>Pear - Moonglow</v>
      </c>
      <c r="B113" s="51" t="str">
        <f ca="1">'Fruit Trees'!C109</f>
        <v>#5</v>
      </c>
      <c r="C113" s="51" t="str">
        <f ca="1">'Fruit Trees'!D109</f>
        <v>0.75-1"</v>
      </c>
      <c r="D113" s="51" t="str">
        <f ca="1">'Fruit Trees'!E109</f>
        <v>7-9'</v>
      </c>
      <c r="E113" s="75">
        <f ca="1">'Fruit Trees'!F109</f>
        <v>75</v>
      </c>
      <c r="F113" s="76">
        <f ca="1">'Fruit Trees'!G109</f>
        <v>55</v>
      </c>
    </row>
    <row r="114" spans="1:6" ht="12.75" x14ac:dyDescent="0.2">
      <c r="A114" s="51" t="str">
        <f ca="1">'Fruit Trees'!A110</f>
        <v>Pear - Moonglow</v>
      </c>
      <c r="B114" s="51" t="str">
        <f ca="1">'Fruit Trees'!C110</f>
        <v>#7</v>
      </c>
      <c r="C114" s="51" t="str">
        <f ca="1">'Fruit Trees'!D110</f>
        <v>0.75-1.25"</v>
      </c>
      <c r="D114" s="51" t="str">
        <f ca="1">'Fruit Trees'!E110</f>
        <v>8-9'</v>
      </c>
      <c r="E114" s="75">
        <f ca="1">'Fruit Trees'!F110</f>
        <v>8</v>
      </c>
      <c r="F114" s="76">
        <f ca="1">'Fruit Trees'!G110</f>
        <v>80</v>
      </c>
    </row>
    <row r="115" spans="1:6" ht="12.75" x14ac:dyDescent="0.2">
      <c r="A115" s="51" t="str">
        <f ca="1">'Fruit Trees'!A111</f>
        <v>Pear - Potomac</v>
      </c>
      <c r="B115" s="51" t="str">
        <f ca="1">'Fruit Trees'!C111</f>
        <v>#7</v>
      </c>
      <c r="C115" s="51" t="str">
        <f ca="1">'Fruit Trees'!D111</f>
        <v>0.75-1"</v>
      </c>
      <c r="D115" s="51" t="str">
        <f ca="1">'Fruit Trees'!E111</f>
        <v>7-9'</v>
      </c>
      <c r="E115" s="75">
        <f ca="1">'Fruit Trees'!F111</f>
        <v>28</v>
      </c>
      <c r="F115" s="76">
        <f ca="1">'Fruit Trees'!G111</f>
        <v>80</v>
      </c>
    </row>
    <row r="116" spans="1:6" ht="12.75" x14ac:dyDescent="0.2">
      <c r="A116" s="51" t="str">
        <f ca="1">'Fruit Trees'!A112</f>
        <v>Persimmon - Chocolate</v>
      </c>
      <c r="B116" s="51" t="str">
        <f ca="1">'Fruit Trees'!C112</f>
        <v>#5</v>
      </c>
      <c r="C116" s="51" t="str">
        <f ca="1">'Fruit Trees'!D112</f>
        <v>0.75-1"</v>
      </c>
      <c r="D116" s="51" t="str">
        <f ca="1">'Fruit Trees'!E112</f>
        <v>4.5-6.5'</v>
      </c>
      <c r="E116" s="75">
        <f ca="1">'Fruit Trees'!F112</f>
        <v>8</v>
      </c>
      <c r="F116" s="76">
        <f ca="1">'Fruit Trees'!G112</f>
        <v>100</v>
      </c>
    </row>
    <row r="117" spans="1:6" ht="12.75" x14ac:dyDescent="0.2">
      <c r="A117" s="51" t="str">
        <f ca="1">'Fruit Trees'!A113</f>
        <v>Persimmon - Fuyu</v>
      </c>
      <c r="B117" s="51" t="str">
        <f ca="1">'Fruit Trees'!C113</f>
        <v>#5</v>
      </c>
      <c r="C117" s="51" t="str">
        <f ca="1">'Fruit Trees'!D113</f>
        <v>0.5-1"</v>
      </c>
      <c r="D117" s="51" t="str">
        <f ca="1">'Fruit Trees'!E113</f>
        <v>4-8'</v>
      </c>
      <c r="E117" s="75">
        <f ca="1">'Fruit Trees'!F113</f>
        <v>155</v>
      </c>
      <c r="F117" s="76">
        <f ca="1">'Fruit Trees'!G113</f>
        <v>100</v>
      </c>
    </row>
    <row r="118" spans="1:6" ht="12.75" x14ac:dyDescent="0.2">
      <c r="A118" s="51" t="str">
        <f ca="1">'Fruit Trees'!A114</f>
        <v>Persimmon - Fuyu</v>
      </c>
      <c r="B118" s="51" t="str">
        <f ca="1">'Fruit Trees'!C114</f>
        <v>#7</v>
      </c>
      <c r="C118" s="51" t="str">
        <f ca="1">'Fruit Trees'!D114</f>
        <v>0.75-1"</v>
      </c>
      <c r="D118" s="51" t="str">
        <f ca="1">'Fruit Trees'!E114</f>
        <v>5-8'</v>
      </c>
      <c r="E118" s="75">
        <f ca="1">'Fruit Trees'!F114</f>
        <v>3</v>
      </c>
      <c r="F118" s="76">
        <f ca="1">'Fruit Trees'!G114</f>
        <v>100</v>
      </c>
    </row>
    <row r="119" spans="1:6" ht="12.75" x14ac:dyDescent="0.2">
      <c r="A119" s="51" t="str">
        <f ca="1">'Fruit Trees'!A115</f>
        <v>Persimmon - Giant Fuyu</v>
      </c>
      <c r="B119" s="51" t="str">
        <f ca="1">'Fruit Trees'!C115</f>
        <v>#5</v>
      </c>
      <c r="C119" s="51" t="str">
        <f ca="1">'Fruit Trees'!D115</f>
        <v>0.5-1"</v>
      </c>
      <c r="D119" s="51" t="str">
        <f ca="1">'Fruit Trees'!E115</f>
        <v>4-8'</v>
      </c>
      <c r="E119" s="75">
        <f ca="1">'Fruit Trees'!F115</f>
        <v>112</v>
      </c>
      <c r="F119" s="76">
        <f ca="1">'Fruit Trees'!G115</f>
        <v>100</v>
      </c>
    </row>
    <row r="120" spans="1:6" ht="12.75" x14ac:dyDescent="0.2">
      <c r="A120" s="51" t="str">
        <f ca="1">'Fruit Trees'!A116</f>
        <v>Persimmon - Hachiya</v>
      </c>
      <c r="B120" s="51" t="str">
        <f ca="1">'Fruit Trees'!C116</f>
        <v>#5</v>
      </c>
      <c r="C120" s="51" t="str">
        <f ca="1">'Fruit Trees'!D116</f>
        <v>0.5-1"</v>
      </c>
      <c r="D120" s="51" t="str">
        <f ca="1">'Fruit Trees'!E116</f>
        <v>3.5-7'</v>
      </c>
      <c r="E120" s="75">
        <f ca="1">'Fruit Trees'!F116</f>
        <v>47</v>
      </c>
      <c r="F120" s="76">
        <f ca="1">'Fruit Trees'!G116</f>
        <v>100</v>
      </c>
    </row>
    <row r="121" spans="1:6" ht="12.75" x14ac:dyDescent="0.2">
      <c r="A121" s="51" t="str">
        <f ca="1">'Fruit Trees'!A117</f>
        <v>Persimmon - Nikita's Gift</v>
      </c>
      <c r="B121" s="51" t="str">
        <f ca="1">'Fruit Trees'!C117</f>
        <v>#7</v>
      </c>
      <c r="C121" s="51" t="str">
        <f ca="1">'Fruit Trees'!D117</f>
        <v>0.5-0.75"</v>
      </c>
      <c r="D121" s="51" t="str">
        <f ca="1">'Fruit Trees'!E117</f>
        <v>3-4'</v>
      </c>
      <c r="E121" s="75">
        <f ca="1">'Fruit Trees'!F117</f>
        <v>9</v>
      </c>
      <c r="F121" s="76">
        <f ca="1">'Fruit Trees'!G117</f>
        <v>100</v>
      </c>
    </row>
    <row r="122" spans="1:6" ht="12.75" x14ac:dyDescent="0.2">
      <c r="A122" s="51" t="str">
        <f ca="1">'Fruit Trees'!A118</f>
        <v>Persimmon - Prok</v>
      </c>
      <c r="B122" s="51" t="str">
        <f ca="1">'Fruit Trees'!C118</f>
        <v>#7</v>
      </c>
      <c r="C122" s="51" t="str">
        <f ca="1">'Fruit Trees'!D118</f>
        <v>0.5-0.75"</v>
      </c>
      <c r="D122" s="51" t="str">
        <f ca="1">'Fruit Trees'!E118</f>
        <v>2-3'</v>
      </c>
      <c r="E122" s="75">
        <f ca="1">'Fruit Trees'!F118</f>
        <v>4</v>
      </c>
      <c r="F122" s="76">
        <f ca="1">'Fruit Trees'!G118</f>
        <v>100</v>
      </c>
    </row>
    <row r="123" spans="1:6" ht="12.75" x14ac:dyDescent="0.2">
      <c r="A123" s="51" t="str">
        <f ca="1">'Fruit Trees'!A119</f>
        <v>Persimmon - Rosseyanka</v>
      </c>
      <c r="B123" s="51" t="str">
        <f ca="1">'Fruit Trees'!C119</f>
        <v>#7</v>
      </c>
      <c r="C123" s="51" t="str">
        <f ca="1">'Fruit Trees'!D119</f>
        <v>0.5-1"</v>
      </c>
      <c r="D123" s="51" t="str">
        <f ca="1">'Fruit Trees'!E119</f>
        <v>3-7'</v>
      </c>
      <c r="E123" s="75">
        <f ca="1">'Fruit Trees'!F119</f>
        <v>29</v>
      </c>
      <c r="F123" s="76">
        <f ca="1">'Fruit Trees'!G119</f>
        <v>100</v>
      </c>
    </row>
    <row r="124" spans="1:6" ht="12.75" x14ac:dyDescent="0.2">
      <c r="A124" s="51" t="str">
        <f ca="1">'Fruit Trees'!A120</f>
        <v>Plum - Black Ice</v>
      </c>
      <c r="B124" s="51" t="str">
        <f ca="1">'Fruit Trees'!C120</f>
        <v>#5</v>
      </c>
      <c r="C124" s="51" t="str">
        <f ca="1">'Fruit Trees'!D120</f>
        <v>1-1.25"</v>
      </c>
      <c r="D124" s="51" t="str">
        <f ca="1">'Fruit Trees'!E120</f>
        <v>5-8'</v>
      </c>
      <c r="E124" s="75">
        <f ca="1">'Fruit Trees'!F120</f>
        <v>18</v>
      </c>
      <c r="F124" s="76">
        <f ca="1">'Fruit Trees'!G120</f>
        <v>80</v>
      </c>
    </row>
    <row r="125" spans="1:6" ht="12.75" x14ac:dyDescent="0.2">
      <c r="A125" s="51" t="str">
        <f ca="1">'Fruit Trees'!A121</f>
        <v>Plum - Black Ice</v>
      </c>
      <c r="B125" s="51" t="str">
        <f ca="1">'Fruit Trees'!C121</f>
        <v>#7</v>
      </c>
      <c r="C125" s="51" t="str">
        <f ca="1">'Fruit Trees'!D121</f>
        <v>1-1.25"</v>
      </c>
      <c r="D125" s="51" t="str">
        <f ca="1">'Fruit Trees'!E121</f>
        <v>6-8'</v>
      </c>
      <c r="E125" s="75">
        <f ca="1">'Fruit Trees'!F121</f>
        <v>7</v>
      </c>
      <c r="F125" s="76">
        <f ca="1">'Fruit Trees'!G121</f>
        <v>80</v>
      </c>
    </row>
    <row r="126" spans="1:6" ht="12.75" x14ac:dyDescent="0.2">
      <c r="A126" s="51" t="str">
        <f ca="1">'Fruit Trees'!A122</f>
        <v>Plum - Green Gage</v>
      </c>
      <c r="B126" s="51" t="str">
        <f ca="1">'Fruit Trees'!C122</f>
        <v>#5</v>
      </c>
      <c r="C126" s="51" t="str">
        <f ca="1">'Fruit Trees'!D122</f>
        <v>1-1.25"</v>
      </c>
      <c r="D126" s="51" t="str">
        <f ca="1">'Fruit Trees'!E122</f>
        <v>6-9'</v>
      </c>
      <c r="E126" s="75">
        <f ca="1">'Fruit Trees'!F122</f>
        <v>1</v>
      </c>
      <c r="F126" s="76">
        <f ca="1">'Fruit Trees'!G122</f>
        <v>80</v>
      </c>
    </row>
    <row r="127" spans="1:6" ht="12.75" x14ac:dyDescent="0.2">
      <c r="A127" s="51" t="str">
        <f ca="1">'Fruit Trees'!A123</f>
        <v>Plum - Green Gage</v>
      </c>
      <c r="B127" s="51" t="str">
        <f ca="1">'Fruit Trees'!C123</f>
        <v>#7</v>
      </c>
      <c r="C127" s="51" t="str">
        <f ca="1">'Fruit Trees'!D123</f>
        <v>1.25-1.5"</v>
      </c>
      <c r="D127" s="51" t="str">
        <f ca="1">'Fruit Trees'!E123</f>
        <v>7-10'</v>
      </c>
      <c r="E127" s="75">
        <f ca="1">'Fruit Trees'!F123</f>
        <v>22</v>
      </c>
      <c r="F127" s="76">
        <f ca="1">'Fruit Trees'!G123</f>
        <v>80</v>
      </c>
    </row>
    <row r="128" spans="1:6" ht="12.75" x14ac:dyDescent="0.2">
      <c r="A128" s="51" t="str">
        <f ca="1">'Fruit Trees'!A124</f>
        <v>Plum - Methley</v>
      </c>
      <c r="B128" s="51" t="str">
        <f ca="1">'Fruit Trees'!C124</f>
        <v>#5</v>
      </c>
      <c r="C128" s="51" t="str">
        <f ca="1">'Fruit Trees'!D124</f>
        <v>1.25-1.5"</v>
      </c>
      <c r="D128" s="51" t="str">
        <f ca="1">'Fruit Trees'!E124</f>
        <v>9-11'</v>
      </c>
      <c r="E128" s="75">
        <f ca="1">'Fruit Trees'!F124</f>
        <v>131</v>
      </c>
      <c r="F128" s="76">
        <f ca="1">'Fruit Trees'!G124</f>
        <v>55</v>
      </c>
    </row>
    <row r="129" spans="1:8" ht="12.75" x14ac:dyDescent="0.2">
      <c r="A129" s="51" t="str">
        <f ca="1">'Fruit Trees'!A125</f>
        <v>Plum - Methley</v>
      </c>
      <c r="B129" s="51" t="str">
        <f ca="1">'Fruit Trees'!C125</f>
        <v>#7</v>
      </c>
      <c r="C129" s="51" t="str">
        <f ca="1">'Fruit Trees'!D125</f>
        <v>1.5-1.75"</v>
      </c>
      <c r="D129" s="51" t="str">
        <f ca="1">'Fruit Trees'!E125</f>
        <v>10-13'</v>
      </c>
      <c r="E129" s="75">
        <f ca="1">'Fruit Trees'!F125</f>
        <v>29</v>
      </c>
      <c r="F129" s="76">
        <f ca="1">'Fruit Trees'!G125</f>
        <v>80</v>
      </c>
    </row>
    <row r="130" spans="1:8" ht="12.75" x14ac:dyDescent="0.2">
      <c r="A130" s="51" t="str">
        <f ca="1">'Fruit Trees'!A126</f>
        <v>Plum - NY9</v>
      </c>
      <c r="B130" s="51" t="str">
        <f ca="1">'Fruit Trees'!C126</f>
        <v>#5</v>
      </c>
      <c r="C130" s="51" t="str">
        <f ca="1">'Fruit Trees'!D126</f>
        <v>0.75-1"</v>
      </c>
      <c r="D130" s="51" t="str">
        <f ca="1">'Fruit Trees'!E126</f>
        <v>8-10'</v>
      </c>
      <c r="E130" s="75">
        <f ca="1">'Fruit Trees'!F126</f>
        <v>36</v>
      </c>
      <c r="F130" s="76">
        <f ca="1">'Fruit Trees'!G126</f>
        <v>80</v>
      </c>
    </row>
    <row r="131" spans="1:8" ht="12.75" x14ac:dyDescent="0.2">
      <c r="A131" s="51" t="str">
        <f ca="1">'Fruit Trees'!A127</f>
        <v>Plum - NY9</v>
      </c>
      <c r="B131" s="51" t="str">
        <f ca="1">'Fruit Trees'!C127</f>
        <v>#7</v>
      </c>
      <c r="C131" s="51" t="str">
        <f ca="1">'Fruit Trees'!D127</f>
        <v>1-1.25"</v>
      </c>
      <c r="D131" s="51" t="str">
        <f ca="1">'Fruit Trees'!E127</f>
        <v>8-10'</v>
      </c>
      <c r="E131" s="75">
        <f ca="1">'Fruit Trees'!F127</f>
        <v>60</v>
      </c>
      <c r="F131" s="76">
        <f ca="1">'Fruit Trees'!G127</f>
        <v>80</v>
      </c>
    </row>
    <row r="132" spans="1:8" ht="12.75" x14ac:dyDescent="0.2">
      <c r="A132" s="51" t="str">
        <f ca="1">'Fruit Trees'!A128</f>
        <v>Raspberry - Royalty (Purple)</v>
      </c>
      <c r="B132" s="51" t="str">
        <f ca="1">'Fruit Trees'!C128</f>
        <v>#5</v>
      </c>
      <c r="C132" s="51" t="str">
        <f ca="1">'Fruit Trees'!D128</f>
        <v>Multi</v>
      </c>
      <c r="D132" s="51" t="str">
        <f ca="1">'Fruit Trees'!E128</f>
        <v>4-6.5'</v>
      </c>
      <c r="E132" s="75">
        <f ca="1">'Fruit Trees'!F128</f>
        <v>46</v>
      </c>
      <c r="F132" s="76">
        <f ca="1">'Fruit Trees'!G128</f>
        <v>35</v>
      </c>
    </row>
    <row r="133" spans="1:8" ht="12.75" x14ac:dyDescent="0.2">
      <c r="A133" s="51" t="str">
        <f ca="1">'Fruit Trees'!A129</f>
        <v>Raspberry (Yellow) - Anne</v>
      </c>
      <c r="B133" s="51" t="str">
        <f ca="1">'Fruit Trees'!C129</f>
        <v>#5</v>
      </c>
      <c r="C133" s="51" t="str">
        <f ca="1">'Fruit Trees'!D129</f>
        <v>Multi</v>
      </c>
      <c r="D133" s="51" t="str">
        <f ca="1">'Fruit Trees'!E129</f>
        <v>3-5'</v>
      </c>
      <c r="E133" s="75">
        <f ca="1">'Fruit Trees'!F129</f>
        <v>32</v>
      </c>
      <c r="F133" s="76">
        <f ca="1">'Fruit Trees'!G129</f>
        <v>35</v>
      </c>
    </row>
    <row r="134" spans="1:8" ht="12.75" x14ac:dyDescent="0.2">
      <c r="A134" s="51" t="str">
        <f ca="1">'Fruit Trees'!A130</f>
        <v>Russian Pomegrante - Salavatski</v>
      </c>
      <c r="B134" s="51" t="str">
        <f ca="1">'Fruit Trees'!C130</f>
        <v>#5</v>
      </c>
      <c r="C134" s="51" t="str">
        <f ca="1">'Fruit Trees'!D130</f>
        <v>Multi</v>
      </c>
      <c r="D134" s="51" t="str">
        <f ca="1">'Fruit Trees'!E130</f>
        <v>1-2'</v>
      </c>
      <c r="E134" s="75">
        <f ca="1">'Fruit Trees'!F130</f>
        <v>79</v>
      </c>
      <c r="F134" s="76">
        <f ca="1">'Fruit Trees'!G130</f>
        <v>35</v>
      </c>
    </row>
    <row r="135" spans="1:8" ht="12.75" x14ac:dyDescent="0.2">
      <c r="A135" s="51" t="str">
        <f ca="1">'Fruit Trees'!A131</f>
        <v>Stone Fruits - Misshapen/Damaged Trees (Discounted)</v>
      </c>
      <c r="B135" s="51" t="str">
        <f ca="1">'Fruit Trees'!C131</f>
        <v>#5</v>
      </c>
      <c r="C135" s="51" t="str">
        <f ca="1">'Fruit Trees'!D131</f>
        <v>0-0"</v>
      </c>
      <c r="D135" s="51" t="str">
        <f ca="1">'Fruit Trees'!E131</f>
        <v>0-0'</v>
      </c>
      <c r="E135" s="75">
        <f ca="1">'Fruit Trees'!F131</f>
        <v>213</v>
      </c>
      <c r="F135" s="76">
        <f ca="1">'Fruit Trees'!G131</f>
        <v>30</v>
      </c>
    </row>
    <row r="136" spans="1:8" ht="12.75" x14ac:dyDescent="0.2">
      <c r="A136" s="51" t="str">
        <f ca="1">'Fruit Trees'!A132</f>
        <v>zx - 1.5"x1.5"x6' Stakes</v>
      </c>
      <c r="B136" s="51">
        <f>'Fruit Trees'!C132</f>
        <v>0</v>
      </c>
      <c r="C136" s="51" t="str">
        <f ca="1">'Fruit Trees'!D132</f>
        <v>0-0"</v>
      </c>
      <c r="D136" s="51" t="str">
        <f ca="1">'Fruit Trees'!E132</f>
        <v>0-0'</v>
      </c>
      <c r="E136" s="75">
        <f ca="1">'Fruit Trees'!F132</f>
        <v>863</v>
      </c>
      <c r="F136" s="76">
        <f ca="1">'Fruit Trees'!G132</f>
        <v>3</v>
      </c>
    </row>
    <row r="137" spans="1:8" ht="12.75" x14ac:dyDescent="0.2">
      <c r="A137" s="51" t="str">
        <f ca="1">'Fruit Trees'!A133</f>
        <v>zx - 10' Orchard Ladder (extendable leg)</v>
      </c>
      <c r="B137" s="51">
        <f>'Fruit Trees'!C133</f>
        <v>0</v>
      </c>
      <c r="C137" s="51" t="str">
        <f ca="1">'Fruit Trees'!D133</f>
        <v>0-0"</v>
      </c>
      <c r="D137" s="51" t="str">
        <f ca="1">'Fruit Trees'!E133</f>
        <v>0-0'</v>
      </c>
      <c r="E137" s="75">
        <f ca="1">'Fruit Trees'!F133</f>
        <v>14</v>
      </c>
      <c r="F137" s="76">
        <f ca="1">'Fruit Trees'!G133</f>
        <v>500</v>
      </c>
    </row>
    <row r="138" spans="1:8" ht="12.75" x14ac:dyDescent="0.2">
      <c r="A138" s="51" t="str">
        <f ca="1">'Fruit Trees'!A134</f>
        <v>zx - 10' Orchard Ladder (fixed)</v>
      </c>
      <c r="B138" s="51">
        <f>'Fruit Trees'!C134</f>
        <v>0</v>
      </c>
      <c r="C138" s="51" t="str">
        <f ca="1">'Fruit Trees'!D134</f>
        <v>0-0"</v>
      </c>
      <c r="D138" s="51" t="str">
        <f ca="1">'Fruit Trees'!E134</f>
        <v>0-0'</v>
      </c>
      <c r="E138" s="75">
        <f ca="1">'Fruit Trees'!F134</f>
        <v>3</v>
      </c>
      <c r="F138" s="76">
        <f ca="1">'Fruit Trees'!G134</f>
        <v>435</v>
      </c>
      <c r="H138" s="47"/>
    </row>
    <row r="139" spans="1:8" ht="12.75" x14ac:dyDescent="0.2">
      <c r="A139" s="51" t="str">
        <f ca="1">'Fruit Trees'!A135</f>
        <v>zx - 12' Orchard Ladder (extendable leg)</v>
      </c>
      <c r="B139" s="51">
        <f>'Fruit Trees'!C135</f>
        <v>0</v>
      </c>
      <c r="C139" s="51" t="str">
        <f ca="1">'Fruit Trees'!D135</f>
        <v>0-0"</v>
      </c>
      <c r="D139" s="51" t="str">
        <f ca="1">'Fruit Trees'!E135</f>
        <v>0-0'</v>
      </c>
      <c r="E139" s="75">
        <f ca="1">'Fruit Trees'!F135</f>
        <v>2</v>
      </c>
      <c r="F139" s="76">
        <f ca="1">'Fruit Trees'!G135</f>
        <v>560</v>
      </c>
      <c r="H139" s="47"/>
    </row>
    <row r="140" spans="1:8" ht="12.75" x14ac:dyDescent="0.2">
      <c r="A140" s="51" t="str">
        <f ca="1">'Fruit Trees'!A136</f>
        <v>zx - 14' Orchard Ladder (extendable)</v>
      </c>
      <c r="B140" s="51">
        <f>'Fruit Trees'!C136</f>
        <v>0</v>
      </c>
      <c r="C140" s="51" t="str">
        <f ca="1">'Fruit Trees'!D136</f>
        <v>0-0"</v>
      </c>
      <c r="D140" s="51" t="str">
        <f ca="1">'Fruit Trees'!E136</f>
        <v>0-0'</v>
      </c>
      <c r="E140" s="75">
        <f ca="1">'Fruit Trees'!F136</f>
        <v>9</v>
      </c>
      <c r="F140" s="76">
        <f ca="1">'Fruit Trees'!G136</f>
        <v>620</v>
      </c>
      <c r="H140" s="47"/>
    </row>
    <row r="141" spans="1:8" ht="12.75" x14ac:dyDescent="0.2">
      <c r="A141" s="51" t="str">
        <f ca="1">'Fruit Trees'!A137</f>
        <v>zx - 16' Orchard Ladder (extendable)</v>
      </c>
      <c r="B141" s="51">
        <f>'Fruit Trees'!C137</f>
        <v>0</v>
      </c>
      <c r="C141" s="51" t="str">
        <f ca="1">'Fruit Trees'!D137</f>
        <v>0-0"</v>
      </c>
      <c r="D141" s="51" t="str">
        <f ca="1">'Fruit Trees'!E137</f>
        <v>0-0'</v>
      </c>
      <c r="E141" s="75">
        <f ca="1">'Fruit Trees'!F137</f>
        <v>1</v>
      </c>
      <c r="F141" s="76">
        <f ca="1">'Fruit Trees'!G137</f>
        <v>685</v>
      </c>
      <c r="H141" s="47"/>
    </row>
    <row r="142" spans="1:8" ht="12.75" x14ac:dyDescent="0.2">
      <c r="A142" s="51" t="str">
        <f ca="1">'Fruit Trees'!A138</f>
        <v>zx - 16' Orchard Ladder (fixed)</v>
      </c>
      <c r="B142" s="51">
        <f>'Fruit Trees'!C138</f>
        <v>0</v>
      </c>
      <c r="C142" s="51" t="str">
        <f ca="1">'Fruit Trees'!D138</f>
        <v>0-0"</v>
      </c>
      <c r="D142" s="51" t="str">
        <f ca="1">'Fruit Trees'!E138</f>
        <v>0-0'</v>
      </c>
      <c r="E142" s="75">
        <f ca="1">'Fruit Trees'!F138</f>
        <v>5</v>
      </c>
      <c r="F142" s="76">
        <f ca="1">'Fruit Trees'!G138</f>
        <v>600</v>
      </c>
      <c r="H142" s="47"/>
    </row>
    <row r="143" spans="1:8" ht="12.75" x14ac:dyDescent="0.2">
      <c r="A143" s="51" t="str">
        <f ca="1">'Fruit Trees'!A139</f>
        <v>zx - 4' Bark Protector</v>
      </c>
      <c r="B143" s="51">
        <f>'Fruit Trees'!C139</f>
        <v>0</v>
      </c>
      <c r="C143" s="51" t="str">
        <f ca="1">'Fruit Trees'!D139</f>
        <v>0-0"</v>
      </c>
      <c r="D143" s="51" t="str">
        <f ca="1">'Fruit Trees'!E139</f>
        <v>0-0'</v>
      </c>
      <c r="E143" s="75">
        <f ca="1">'Fruit Trees'!F139</f>
        <v>876</v>
      </c>
      <c r="F143" s="76">
        <f ca="1">'Fruit Trees'!G139</f>
        <v>10</v>
      </c>
      <c r="H143" s="47"/>
    </row>
    <row r="144" spans="1:8" ht="12.75" x14ac:dyDescent="0.2">
      <c r="A144" s="51" t="str">
        <f ca="1">'Fruit Trees'!A140</f>
        <v>zx - 6' Orchard Ladder (extendable leg)</v>
      </c>
      <c r="B144" s="51">
        <f>'Fruit Trees'!C140</f>
        <v>0</v>
      </c>
      <c r="C144" s="51" t="str">
        <f ca="1">'Fruit Trees'!D140</f>
        <v>0-0"</v>
      </c>
      <c r="D144" s="51" t="str">
        <f ca="1">'Fruit Trees'!E140</f>
        <v>0-0'</v>
      </c>
      <c r="E144" s="75">
        <f ca="1">'Fruit Trees'!F140</f>
        <v>2</v>
      </c>
      <c r="F144" s="76">
        <f ca="1">'Fruit Trees'!G140</f>
        <v>400</v>
      </c>
      <c r="H144" s="47"/>
    </row>
    <row r="145" spans="1:8" ht="12.75" x14ac:dyDescent="0.2">
      <c r="A145" s="51" t="str">
        <f ca="1">'Fruit Trees'!A141</f>
        <v>zx - 8' Orchard Ladder (extendable leg)</v>
      </c>
      <c r="B145" s="51">
        <f>'Fruit Trees'!C141</f>
        <v>0</v>
      </c>
      <c r="C145" s="51" t="str">
        <f ca="1">'Fruit Trees'!D141</f>
        <v>0-0"</v>
      </c>
      <c r="D145" s="51" t="str">
        <f ca="1">'Fruit Trees'!E141</f>
        <v>0-0'</v>
      </c>
      <c r="E145" s="75">
        <f ca="1">'Fruit Trees'!F141</f>
        <v>5</v>
      </c>
      <c r="F145" s="76">
        <f ca="1">'Fruit Trees'!G141</f>
        <v>450</v>
      </c>
      <c r="H145" s="47"/>
    </row>
    <row r="146" spans="1:8" ht="12.75" x14ac:dyDescent="0.2">
      <c r="A146" s="51" t="str">
        <f ca="1">'Fruit Trees'!A142</f>
        <v>zx - Felco #2 Pruners</v>
      </c>
      <c r="B146" s="51">
        <f>'Fruit Trees'!C142</f>
        <v>0</v>
      </c>
      <c r="C146" s="51" t="str">
        <f ca="1">'Fruit Trees'!D142</f>
        <v>0-0"</v>
      </c>
      <c r="D146" s="51" t="str">
        <f ca="1">'Fruit Trees'!E142</f>
        <v>0-0'</v>
      </c>
      <c r="E146" s="75">
        <f ca="1">'Fruit Trees'!F142</f>
        <v>49</v>
      </c>
      <c r="F146" s="76">
        <f ca="1">'Fruit Trees'!G142</f>
        <v>65</v>
      </c>
      <c r="H146" s="47"/>
    </row>
    <row r="147" spans="1:8" ht="12.75" x14ac:dyDescent="0.2">
      <c r="A147" s="51" t="str">
        <f ca="1">'Fruit Trees'!A143</f>
        <v>zx -Cages</v>
      </c>
      <c r="B147" s="51">
        <f>'Fruit Trees'!C143</f>
        <v>0</v>
      </c>
      <c r="C147" s="51" t="str">
        <f ca="1">'Fruit Trees'!D143</f>
        <v>0-0"</v>
      </c>
      <c r="D147" s="51" t="str">
        <f ca="1">'Fruit Trees'!E143</f>
        <v>0-0'</v>
      </c>
      <c r="E147" s="75">
        <f ca="1">'Fruit Trees'!F143</f>
        <v>981</v>
      </c>
      <c r="F147" s="76">
        <f ca="1">'Fruit Trees'!G143</f>
        <v>45</v>
      </c>
      <c r="H147" s="47"/>
    </row>
    <row r="148" spans="1:8" ht="12.75" x14ac:dyDescent="0.2">
      <c r="A148" s="51" t="str">
        <f ca="1">'Fruit Trees'!A144</f>
        <v>zx -Shade Tarp</v>
      </c>
      <c r="B148" s="51">
        <f>'Fruit Trees'!C144</f>
        <v>0</v>
      </c>
      <c r="C148" s="51" t="str">
        <f ca="1">'Fruit Trees'!D144</f>
        <v>0-0"</v>
      </c>
      <c r="D148" s="51" t="str">
        <f ca="1">'Fruit Trees'!E144</f>
        <v>0-0'</v>
      </c>
      <c r="E148" s="75">
        <f ca="1">'Fruit Trees'!F144</f>
        <v>9</v>
      </c>
      <c r="F148" s="76">
        <f ca="1">'Fruit Trees'!G144</f>
        <v>30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12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16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31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17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'Emperor I'</v>
      </c>
      <c r="B176" s="51" t="str">
        <f ca="1">'Landscape Trees '!C6</f>
        <v>Emperor I Japanese Maple</v>
      </c>
      <c r="C176" s="51" t="str">
        <f ca="1">'Landscape Trees '!D6</f>
        <v>#5</v>
      </c>
      <c r="D176" s="51" t="str">
        <f ca="1">'Landscape Trees '!E6</f>
        <v>0.5-0.75"</v>
      </c>
      <c r="E176" s="51" t="str">
        <f ca="1">'Landscape Trees '!F6</f>
        <v>5-6'</v>
      </c>
      <c r="F176" s="75">
        <f ca="1">'Landscape Trees '!G6</f>
        <v>6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'Tamukeyama'</v>
      </c>
      <c r="B177" s="51" t="str">
        <f ca="1">'Landscape Trees '!C7</f>
        <v>Tamukeyama Japanese Maple</v>
      </c>
      <c r="C177" s="51" t="str">
        <f ca="1">'Landscape Trees '!D7</f>
        <v>#5</v>
      </c>
      <c r="D177" s="51" t="str">
        <f ca="1">'Landscape Trees '!E7</f>
        <v>0.25-0.75"</v>
      </c>
      <c r="E177" s="51" t="str">
        <f ca="1">'Landscape Trees '!F7</f>
        <v>3.5-4'</v>
      </c>
      <c r="F177" s="75">
        <f ca="1">'Landscape Trees '!G7</f>
        <v>8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platanoides 'Crimson King'</v>
      </c>
      <c r="B178" s="51" t="str">
        <f ca="1">'Landscape Trees '!C8</f>
        <v>Crimson King Norway Maple</v>
      </c>
      <c r="C178" s="51" t="str">
        <f ca="1">'Landscape Trees '!D8</f>
        <v>#15</v>
      </c>
      <c r="D178" s="51" t="str">
        <f ca="1">'Landscape Trees '!E8</f>
        <v>1.25-1.75"</v>
      </c>
      <c r="E178" s="51" t="str">
        <f ca="1">'Landscape Trees '!F8</f>
        <v>9-10'</v>
      </c>
      <c r="F178" s="75">
        <f ca="1">'Landscape Trees '!G8</f>
        <v>17</v>
      </c>
      <c r="G178" s="76">
        <f ca="1">'Landscape Trees '!H8</f>
        <v>135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#25</v>
      </c>
      <c r="D179" s="51" t="str">
        <f ca="1">'Landscape Trees '!E9</f>
        <v>1.75-1.75"</v>
      </c>
      <c r="E179" s="51" t="str">
        <f ca="1">'Landscape Trees '!F9</f>
        <v>13.5-13.5'</v>
      </c>
      <c r="F179" s="75">
        <f ca="1">'Landscape Trees '!G9</f>
        <v>1</v>
      </c>
      <c r="G179" s="76">
        <f ca="1">'Landscape Trees '!H9</f>
        <v>150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'Silver Variegated'</v>
      </c>
      <c r="B180" s="51" t="str">
        <f ca="1">'Landscape Trees '!C10</f>
        <v>Silver Variegated Norway Maple</v>
      </c>
      <c r="C180" s="51" t="str">
        <f ca="1">'Landscape Trees '!D10</f>
        <v>#15</v>
      </c>
      <c r="D180" s="51" t="str">
        <f ca="1">'Landscape Trees '!E10</f>
        <v>1.25-1.25"</v>
      </c>
      <c r="E180" s="51" t="str">
        <f ca="1">'Landscape Trees '!F10</f>
        <v>9-9'</v>
      </c>
      <c r="F180" s="75">
        <f ca="1">'Landscape Trees '!G10</f>
        <v>1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</v>
      </c>
      <c r="B181" s="51" t="str">
        <f ca="1">'Landscape Trees '!C11</f>
        <v>Red Maple Native</v>
      </c>
      <c r="C181" s="51" t="str">
        <f ca="1">'Landscape Trees '!D11</f>
        <v>#5</v>
      </c>
      <c r="D181" s="51" t="str">
        <f ca="1">'Landscape Trees '!E11</f>
        <v>0.25-0.75"</v>
      </c>
      <c r="E181" s="51" t="str">
        <f ca="1">'Landscape Trees '!F11</f>
        <v>3-7'</v>
      </c>
      <c r="F181" s="75">
        <f ca="1">'Landscape Trees '!G11</f>
        <v>236</v>
      </c>
      <c r="G181" s="76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Cultivar</v>
      </c>
      <c r="C182" s="51" t="str">
        <f ca="1">'Landscape Trees '!D12</f>
        <v>#15</v>
      </c>
      <c r="D182" s="51" t="str">
        <f ca="1">'Landscape Trees '!E12</f>
        <v>1-1.5"</v>
      </c>
      <c r="E182" s="51" t="str">
        <f ca="1">'Landscape Trees '!F12</f>
        <v>8-12'</v>
      </c>
      <c r="F182" s="75">
        <f ca="1">'Landscape Trees '!G12</f>
        <v>38</v>
      </c>
      <c r="G182" s="76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 xml:space="preserve">Acer rubrum </v>
      </c>
      <c r="B183" s="51" t="str">
        <f ca="1">'Landscape Trees '!C13</f>
        <v>Red Maple Cultivar</v>
      </c>
      <c r="C183" s="51" t="str">
        <f ca="1">'Landscape Trees '!D13</f>
        <v>#5</v>
      </c>
      <c r="D183" s="51" t="str">
        <f ca="1">'Landscape Trees '!E13</f>
        <v>0.5-0.75"</v>
      </c>
      <c r="E183" s="51" t="str">
        <f ca="1">'Landscape Trees '!F13</f>
        <v>4-6'</v>
      </c>
      <c r="F183" s="75">
        <f ca="1">'Landscape Trees '!G13</f>
        <v>21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 'Armstrong'</v>
      </c>
      <c r="B184" s="51" t="str">
        <f ca="1">'Landscape Trees '!C14</f>
        <v>Armstrong Red Maple</v>
      </c>
      <c r="C184" s="51" t="str">
        <f ca="1">'Landscape Trees '!D14</f>
        <v>#15</v>
      </c>
      <c r="D184" s="51" t="str">
        <f ca="1">'Landscape Trees '!E14</f>
        <v>1.5-1.75"</v>
      </c>
      <c r="E184" s="51" t="str">
        <f ca="1">'Landscape Trees '!F14</f>
        <v>12-14'</v>
      </c>
      <c r="F184" s="75">
        <f ca="1">'Landscape Trees '!G14</f>
        <v>8</v>
      </c>
      <c r="G184" s="76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#5</v>
      </c>
      <c r="D185" s="51" t="str">
        <f ca="1">'Landscape Trees '!E15</f>
        <v>0.25-0.5"</v>
      </c>
      <c r="E185" s="51" t="str">
        <f ca="1">'Landscape Trees '!F15</f>
        <v>3-5'</v>
      </c>
      <c r="F185" s="75">
        <f ca="1">'Landscape Trees '!G15</f>
        <v>1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saccharinum</v>
      </c>
      <c r="B186" s="51" t="str">
        <f ca="1">'Landscape Trees '!C16</f>
        <v>Silver Maple</v>
      </c>
      <c r="C186" s="51" t="str">
        <f ca="1">'Landscape Trees '!D16</f>
        <v>#5</v>
      </c>
      <c r="D186" s="51" t="str">
        <f ca="1">'Landscape Trees '!E16</f>
        <v>0.75-1.5"</v>
      </c>
      <c r="E186" s="51" t="str">
        <f ca="1">'Landscape Trees '!F16</f>
        <v>7-11'</v>
      </c>
      <c r="F186" s="75">
        <f ca="1">'Landscape Trees '!G16</f>
        <v>42</v>
      </c>
      <c r="G186" s="76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</v>
      </c>
      <c r="B187" s="51" t="str">
        <f ca="1">'Landscape Trees '!C17</f>
        <v>Sugar Maple</v>
      </c>
      <c r="C187" s="51" t="str">
        <f ca="1">'Landscape Trees '!D17</f>
        <v>#15</v>
      </c>
      <c r="D187" s="51" t="str">
        <f ca="1">'Landscape Trees '!E17</f>
        <v>1-1.25"</v>
      </c>
      <c r="E187" s="51" t="str">
        <f ca="1">'Landscape Trees '!F17</f>
        <v>10-12'</v>
      </c>
      <c r="F187" s="75">
        <f ca="1">'Landscape Trees '!G17</f>
        <v>8</v>
      </c>
      <c r="G187" s="76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 'Bailsta'</v>
      </c>
      <c r="B188" s="51" t="str">
        <f ca="1">'Landscape Trees '!C18</f>
        <v>Fall Fiesta Sugar Maple</v>
      </c>
      <c r="C188" s="51" t="str">
        <f ca="1">'Landscape Trees '!D18</f>
        <v>#15</v>
      </c>
      <c r="D188" s="51" t="str">
        <f ca="1">'Landscape Trees '!E18</f>
        <v>1-1.75"</v>
      </c>
      <c r="E188" s="51" t="str">
        <f ca="1">'Landscape Trees '!F18</f>
        <v>10-13'</v>
      </c>
      <c r="F188" s="75">
        <f ca="1">'Landscape Trees '!G18</f>
        <v>34</v>
      </c>
      <c r="G188" s="76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'Bailsta'</v>
      </c>
      <c r="B189" s="51" t="str">
        <f ca="1">'Landscape Trees '!C19</f>
        <v>Fall Fiesta Sugar Maple</v>
      </c>
      <c r="C189" s="51" t="str">
        <f ca="1">'Landscape Trees '!D19</f>
        <v>#25</v>
      </c>
      <c r="D189" s="51" t="str">
        <f ca="1">'Landscape Trees '!E19</f>
        <v>1.25-1.75"</v>
      </c>
      <c r="E189" s="51" t="str">
        <f ca="1">'Landscape Trees '!F19</f>
        <v>11-14'</v>
      </c>
      <c r="F189" s="75">
        <f ca="1">'Landscape Trees '!G19</f>
        <v>15</v>
      </c>
      <c r="G189" s="76">
        <f ca="1">'Landscape Trees '!H19</f>
        <v>150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'Green Mountain'</v>
      </c>
      <c r="B190" s="51" t="str">
        <f ca="1">'Landscape Trees '!C20</f>
        <v>Green Mountain Sugar Maple</v>
      </c>
      <c r="C190" s="51" t="str">
        <f ca="1">'Landscape Trees '!D20</f>
        <v>#15</v>
      </c>
      <c r="D190" s="51" t="str">
        <f ca="1">'Landscape Trees '!E20</f>
        <v>1.25-1.5"</v>
      </c>
      <c r="E190" s="51" t="str">
        <f ca="1">'Landscape Trees '!F20</f>
        <v>12-12'</v>
      </c>
      <c r="F190" s="75">
        <f ca="1">'Landscape Trees '!G20</f>
        <v>4</v>
      </c>
      <c r="G190" s="76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tataricum 'Hot Wings'</v>
      </c>
      <c r="B191" s="51" t="str">
        <f ca="1">'Landscape Trees '!C21</f>
        <v>Hot Wings Maple</v>
      </c>
      <c r="C191" s="51" t="str">
        <f ca="1">'Landscape Trees '!D21</f>
        <v>#15</v>
      </c>
      <c r="D191" s="51" t="str">
        <f ca="1">'Landscape Trees '!E21</f>
        <v>1-1.5"</v>
      </c>
      <c r="E191" s="51" t="str">
        <f ca="1">'Landscape Trees '!F21</f>
        <v>9-12'</v>
      </c>
      <c r="F191" s="75">
        <f ca="1">'Landscape Trees '!G21</f>
        <v>7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tataricum 'Hot Wings'</v>
      </c>
      <c r="B192" s="51" t="str">
        <f ca="1">'Landscape Trees '!C22</f>
        <v>Hot Wings Maple</v>
      </c>
      <c r="C192" s="51" t="str">
        <f ca="1">'Landscape Trees '!D22</f>
        <v>#25</v>
      </c>
      <c r="D192" s="51" t="str">
        <f ca="1">'Landscape Trees '!E22</f>
        <v>1.75-1.75"</v>
      </c>
      <c r="E192" s="51" t="str">
        <f ca="1">'Landscape Trees '!F22</f>
        <v>11-12'</v>
      </c>
      <c r="F192" s="75">
        <f ca="1">'Landscape Trees '!G22</f>
        <v>3</v>
      </c>
      <c r="G192" s="76">
        <f ca="1">'Landscape Trees '!H22</f>
        <v>150</v>
      </c>
      <c r="H192" s="51">
        <f>'Landscape Trees '!I22</f>
        <v>0</v>
      </c>
    </row>
    <row r="193" spans="1:8" ht="12.75" x14ac:dyDescent="0.2">
      <c r="A193" s="51" t="str">
        <f ca="1">'Landscape Trees '!A23</f>
        <v>Acer x freemanii</v>
      </c>
      <c r="B193" s="51" t="str">
        <f ca="1">'Landscape Trees '!C23</f>
        <v>Autumn Blaze Maple</v>
      </c>
      <c r="C193" s="51" t="str">
        <f ca="1">'Landscape Trees '!D23</f>
        <v>#10</v>
      </c>
      <c r="D193" s="51" t="str">
        <f ca="1">'Landscape Trees '!E23</f>
        <v>1-1"</v>
      </c>
      <c r="E193" s="51" t="str">
        <f ca="1">'Landscape Trees '!F23</f>
        <v>8-9'</v>
      </c>
      <c r="F193" s="75">
        <f ca="1">'Landscape Trees '!G23</f>
        <v>1</v>
      </c>
      <c r="G193" s="76">
        <f ca="1">'Landscape Trees '!H23</f>
        <v>100</v>
      </c>
      <c r="H193" s="51">
        <f>'Landscape Trees '!I23</f>
        <v>0</v>
      </c>
    </row>
    <row r="194" spans="1:8" ht="12.75" x14ac:dyDescent="0.2">
      <c r="A194" s="51" t="str">
        <f ca="1">'Landscape Trees '!A24</f>
        <v>Acer x freemanii</v>
      </c>
      <c r="B194" s="51" t="str">
        <f ca="1">'Landscape Trees '!C24</f>
        <v>Autumn Blaze Maple</v>
      </c>
      <c r="C194" s="51" t="str">
        <f ca="1">'Landscape Trees '!D24</f>
        <v>#15</v>
      </c>
      <c r="D194" s="51" t="str">
        <f ca="1">'Landscape Trees '!E24</f>
        <v>1.25-1.25"</v>
      </c>
      <c r="E194" s="51" t="str">
        <f ca="1">'Landscape Trees '!F24</f>
        <v>10-11'</v>
      </c>
      <c r="F194" s="75">
        <f ca="1">'Landscape Trees '!G24</f>
        <v>1</v>
      </c>
      <c r="G194" s="76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Acer x freemanii 'Bailston'</v>
      </c>
      <c r="B195" s="51" t="str">
        <f ca="1">'Landscape Trees '!C25</f>
        <v>Matador Maple</v>
      </c>
      <c r="C195" s="51" t="str">
        <f ca="1">'Landscape Trees '!D25</f>
        <v>#15</v>
      </c>
      <c r="D195" s="51" t="str">
        <f ca="1">'Landscape Trees '!E25</f>
        <v>1.25-1.25"</v>
      </c>
      <c r="E195" s="51" t="str">
        <f ca="1">'Landscape Trees '!F25</f>
        <v>11-12'</v>
      </c>
      <c r="F195" s="75">
        <f ca="1">'Landscape Trees '!G25</f>
        <v>4</v>
      </c>
      <c r="G195" s="76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Aesculus carnea 'Ft. McNair'</v>
      </c>
      <c r="B196" s="51" t="str">
        <f ca="1">'Landscape Trees '!C26</f>
        <v>Ft. McNair Horsechestnut</v>
      </c>
      <c r="C196" s="51" t="str">
        <f ca="1">'Landscape Trees '!D26</f>
        <v>#15</v>
      </c>
      <c r="D196" s="51" t="str">
        <f ca="1">'Landscape Trees '!E26</f>
        <v>1-1.25"</v>
      </c>
      <c r="E196" s="51" t="str">
        <f ca="1">'Landscape Trees '!F26</f>
        <v>7-9'</v>
      </c>
      <c r="F196" s="75">
        <f ca="1">'Landscape Trees '!G26</f>
        <v>6</v>
      </c>
      <c r="G196" s="76">
        <f ca="1">'Landscape Trees '!H26</f>
        <v>135</v>
      </c>
      <c r="H196" s="51">
        <f>'Landscape Trees '!I26</f>
        <v>0</v>
      </c>
    </row>
    <row r="197" spans="1:8" ht="12.75" x14ac:dyDescent="0.2">
      <c r="A197" s="51" t="str">
        <f ca="1">'Landscape Trees '!A27</f>
        <v>Aesculus flava</v>
      </c>
      <c r="B197" s="51" t="str">
        <f ca="1">'Landscape Trees '!C27</f>
        <v>Yellow Buckeye</v>
      </c>
      <c r="C197" s="51" t="str">
        <f ca="1">'Landscape Trees '!D27</f>
        <v>#5</v>
      </c>
      <c r="D197" s="51" t="str">
        <f ca="1">'Landscape Trees '!E27</f>
        <v>0.5-0.75"</v>
      </c>
      <c r="E197" s="51" t="str">
        <f ca="1">'Landscape Trees '!F27</f>
        <v>1-2'</v>
      </c>
      <c r="F197" s="75">
        <f ca="1">'Landscape Trees '!G27</f>
        <v>4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Aesculus parviflora</v>
      </c>
      <c r="B198" s="51" t="str">
        <f ca="1">'Landscape Trees '!C28</f>
        <v>Bottlebrush Buckeye</v>
      </c>
      <c r="C198" s="51" t="str">
        <f ca="1">'Landscape Trees '!D28</f>
        <v>#5</v>
      </c>
      <c r="D198" s="51" t="str">
        <f ca="1">'Landscape Trees '!E28</f>
        <v>Multi</v>
      </c>
      <c r="E198" s="51" t="str">
        <f ca="1">'Landscape Trees '!F28</f>
        <v>3-5'</v>
      </c>
      <c r="F198" s="75">
        <f ca="1">'Landscape Trees '!G28</f>
        <v>43</v>
      </c>
      <c r="G198" s="76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Albizia julibrissin 'E.H.Wilson'</v>
      </c>
      <c r="B199" s="51" t="str">
        <f ca="1">'Landscape Trees '!C29</f>
        <v>Cold Hardy Mimosa</v>
      </c>
      <c r="C199" s="51" t="str">
        <f ca="1">'Landscape Trees '!D29</f>
        <v>#5</v>
      </c>
      <c r="D199" s="51" t="str">
        <f ca="1">'Landscape Trees '!E29</f>
        <v>1-1.25"</v>
      </c>
      <c r="E199" s="51" t="str">
        <f ca="1">'Landscape Trees '!F29</f>
        <v>6-8'</v>
      </c>
      <c r="F199" s="75">
        <f ca="1">'Landscape Trees '!G29</f>
        <v>9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Amelanchier canadensis</v>
      </c>
      <c r="B200" s="51" t="str">
        <f ca="1">'Landscape Trees '!C30</f>
        <v>Canadensis Serviceberry</v>
      </c>
      <c r="C200" s="51" t="str">
        <f ca="1">'Landscape Trees '!D30</f>
        <v>#5</v>
      </c>
      <c r="D200" s="51" t="str">
        <f ca="1">'Landscape Trees '!E30</f>
        <v>Multi</v>
      </c>
      <c r="E200" s="51" t="str">
        <f ca="1">'Landscape Trees '!F30</f>
        <v>4-5'</v>
      </c>
      <c r="F200" s="75">
        <f ca="1">'Landscape Trees '!G30</f>
        <v>156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Amelanchier grandiflora 'Autumn Brilliance'</v>
      </c>
      <c r="B201" s="51" t="str">
        <f ca="1">'Landscape Trees '!C31</f>
        <v>Autumn Brilliance Serviceberry</v>
      </c>
      <c r="C201" s="51" t="str">
        <f ca="1">'Landscape Trees '!D31</f>
        <v>#5</v>
      </c>
      <c r="D201" s="51" t="str">
        <f ca="1">'Landscape Trees '!E31</f>
        <v>Multi</v>
      </c>
      <c r="E201" s="51" t="str">
        <f ca="1">'Landscape Trees '!F31</f>
        <v>4.5-6'</v>
      </c>
      <c r="F201" s="75">
        <f ca="1">'Landscape Trees '!G31</f>
        <v>25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Amelanchier grandiflora 'Autumn Brilliance'</v>
      </c>
      <c r="B202" s="51" t="str">
        <f ca="1">'Landscape Trees '!C32</f>
        <v>Autumn Brilliance Serviceberry</v>
      </c>
      <c r="C202" s="51" t="str">
        <f ca="1">'Landscape Trees '!D32</f>
        <v>#10</v>
      </c>
      <c r="D202" s="51" t="str">
        <f ca="1">'Landscape Trees '!E32</f>
        <v>Multi</v>
      </c>
      <c r="E202" s="51" t="str">
        <f ca="1">'Landscape Trees '!F32</f>
        <v>6-7'</v>
      </c>
      <c r="F202" s="75">
        <f ca="1">'Landscape Trees '!G32</f>
        <v>6</v>
      </c>
      <c r="G202" s="76">
        <f ca="1">'Landscape Trees '!H32</f>
        <v>100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laevis</v>
      </c>
      <c r="B203" s="51" t="str">
        <f ca="1">'Landscape Trees '!C33</f>
        <v>Allegheny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4-10'</v>
      </c>
      <c r="F203" s="75">
        <f ca="1">'Landscape Trees '!G33</f>
        <v>292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lamarckii</v>
      </c>
      <c r="B204" s="51" t="str">
        <f ca="1">'Landscape Trees '!C34</f>
        <v>Lamarckii Serviceberry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3-10'</v>
      </c>
      <c r="F204" s="75">
        <f ca="1">'Landscape Trees '!G34</f>
        <v>68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Aronia arbutifolia</v>
      </c>
      <c r="B205" s="51" t="str">
        <f ca="1">'Landscape Trees '!C35</f>
        <v>Red Chokeberry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3-4.5'</v>
      </c>
      <c r="F205" s="75">
        <f ca="1">'Landscape Trees '!G35</f>
        <v>25</v>
      </c>
      <c r="G205" s="76">
        <f ca="1">'Landscape Trees '!H35</f>
        <v>37</v>
      </c>
      <c r="H205" s="51">
        <f>'Landscape Trees '!I35</f>
        <v>0</v>
      </c>
    </row>
    <row r="206" spans="1:8" ht="12.75" x14ac:dyDescent="0.2">
      <c r="A206" s="51" t="str">
        <f ca="1">'Landscape Trees '!A36</f>
        <v>Asimina triloba</v>
      </c>
      <c r="B206" s="51" t="str">
        <f ca="1">'Landscape Trees '!C36</f>
        <v>Pawpaw</v>
      </c>
      <c r="C206" s="51" t="str">
        <f ca="1">'Landscape Trees '!D36</f>
        <v>#5</v>
      </c>
      <c r="D206" s="51" t="str">
        <f ca="1">'Landscape Trees '!E36</f>
        <v>0.25-0.5"</v>
      </c>
      <c r="E206" s="51" t="str">
        <f ca="1">'Landscape Trees '!F36</f>
        <v>1-4'</v>
      </c>
      <c r="F206" s="75">
        <f ca="1">'Landscape Trees '!G36</f>
        <v>69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Betula nigra 'Heritage'</v>
      </c>
      <c r="B207" s="51" t="str">
        <f ca="1">'Landscape Trees '!C37</f>
        <v>Heritage River Birch</v>
      </c>
      <c r="C207" s="51" t="str">
        <f ca="1">'Landscape Trees '!D37</f>
        <v>#5</v>
      </c>
      <c r="D207" s="51" t="str">
        <f ca="1">'Landscape Trees '!E37</f>
        <v>0.5-0.75"</v>
      </c>
      <c r="E207" s="51" t="str">
        <f ca="1">'Landscape Trees '!F37</f>
        <v>5-7'</v>
      </c>
      <c r="F207" s="75">
        <f ca="1">'Landscape Trees '!G37</f>
        <v>173</v>
      </c>
      <c r="G207" s="76">
        <f ca="1">'Landscape Trees '!H37</f>
        <v>50</v>
      </c>
      <c r="H207" s="51">
        <f>'Landscape Trees '!I37</f>
        <v>0</v>
      </c>
    </row>
    <row r="208" spans="1:8" ht="12.75" x14ac:dyDescent="0.2">
      <c r="A208" s="51" t="str">
        <f ca="1">'Landscape Trees '!A38</f>
        <v>Betula nigra 'Heritage'</v>
      </c>
      <c r="B208" s="51" t="str">
        <f ca="1">'Landscape Trees '!C38</f>
        <v>Clump Heritage River Birch</v>
      </c>
      <c r="C208" s="51" t="str">
        <f ca="1">'Landscape Trees '!D38</f>
        <v>#15</v>
      </c>
      <c r="D208" s="51" t="str">
        <f ca="1">'Landscape Trees '!E38</f>
        <v>Multi</v>
      </c>
      <c r="E208" s="51" t="str">
        <f ca="1">'Landscape Trees '!F38</f>
        <v>8-9.5'</v>
      </c>
      <c r="F208" s="75">
        <f ca="1">'Landscape Trees '!G38</f>
        <v>5</v>
      </c>
      <c r="G208" s="76">
        <f ca="1">'Landscape Trees '!H38</f>
        <v>135</v>
      </c>
      <c r="H208" s="51">
        <f>'Landscape Trees '!I38</f>
        <v>0</v>
      </c>
    </row>
    <row r="209" spans="1:8" ht="12.75" x14ac:dyDescent="0.2">
      <c r="A209" s="51" t="str">
        <f ca="1">'Landscape Trees '!A39</f>
        <v>Calycanthus floridus</v>
      </c>
      <c r="B209" s="51" t="str">
        <f ca="1">'Landscape Trees '!C39</f>
        <v>Carolina Allspice</v>
      </c>
      <c r="C209" s="51" t="str">
        <f ca="1">'Landscape Trees '!D39</f>
        <v>#5</v>
      </c>
      <c r="D209" s="51" t="str">
        <f ca="1">'Landscape Trees '!E39</f>
        <v>Multi</v>
      </c>
      <c r="E209" s="51" t="str">
        <f ca="1">'Landscape Trees '!F39</f>
        <v>2.5-3.5'</v>
      </c>
      <c r="F209" s="75">
        <f ca="1">'Landscape Trees '!G39</f>
        <v>1</v>
      </c>
      <c r="G209" s="76">
        <f ca="1">'Landscape Trees '!H39</f>
        <v>37</v>
      </c>
      <c r="H209" s="51">
        <f>'Landscape Trees '!I39</f>
        <v>0</v>
      </c>
    </row>
    <row r="210" spans="1:8" ht="12.75" x14ac:dyDescent="0.2">
      <c r="A210" s="51" t="str">
        <f ca="1">'Landscape Trees '!A40</f>
        <v>Carpinus betulus 'Frans Fontaine'</v>
      </c>
      <c r="B210" s="51" t="str">
        <f ca="1">'Landscape Trees '!C40</f>
        <v>Frans Fontaine European Hornbeam</v>
      </c>
      <c r="C210" s="51" t="str">
        <f ca="1">'Landscape Trees '!D40</f>
        <v>#7</v>
      </c>
      <c r="D210" s="51" t="str">
        <f ca="1">'Landscape Trees '!E40</f>
        <v>0.5-0.75"</v>
      </c>
      <c r="E210" s="51" t="str">
        <f ca="1">'Landscape Trees '!F40</f>
        <v>5-6'</v>
      </c>
      <c r="F210" s="75">
        <f ca="1">'Landscape Trees '!G40</f>
        <v>7</v>
      </c>
      <c r="G210" s="76">
        <f ca="1">'Landscape Trees '!H40</f>
        <v>100</v>
      </c>
      <c r="H210" s="51">
        <f>'Landscape Trees '!I40</f>
        <v>0</v>
      </c>
    </row>
    <row r="211" spans="1:8" ht="12.75" x14ac:dyDescent="0.2">
      <c r="A211" s="51" t="str">
        <f ca="1">'Landscape Trees '!A41</f>
        <v>Carpinus caroliniana</v>
      </c>
      <c r="B211" s="51" t="str">
        <f ca="1">'Landscape Trees '!C41</f>
        <v>American Hornbeam</v>
      </c>
      <c r="C211" s="51" t="str">
        <f ca="1">'Landscape Trees '!D41</f>
        <v>#5</v>
      </c>
      <c r="D211" s="51" t="str">
        <f ca="1">'Landscape Trees '!E41</f>
        <v>0.75-1.25"</v>
      </c>
      <c r="E211" s="51" t="str">
        <f ca="1">'Landscape Trees '!F41</f>
        <v>5-10'</v>
      </c>
      <c r="F211" s="75">
        <f ca="1">'Landscape Trees '!G41</f>
        <v>200</v>
      </c>
      <c r="G211" s="76">
        <f ca="1">'Landscape Trees '!H41</f>
        <v>50</v>
      </c>
      <c r="H211" s="51">
        <f>'Landscape Trees '!I41</f>
        <v>0</v>
      </c>
    </row>
    <row r="212" spans="1:8" ht="12.75" x14ac:dyDescent="0.2">
      <c r="A212" s="51" t="str">
        <f ca="1">'Landscape Trees '!A42</f>
        <v>Carpinus caroliniana</v>
      </c>
      <c r="B212" s="51" t="str">
        <f ca="1">'Landscape Trees '!C42</f>
        <v>American Hornbeam</v>
      </c>
      <c r="C212" s="51" t="str">
        <f ca="1">'Landscape Trees '!D42</f>
        <v>#7</v>
      </c>
      <c r="D212" s="51" t="str">
        <f ca="1">'Landscape Trees '!E42</f>
        <v>0.75-1.25"</v>
      </c>
      <c r="E212" s="51" t="str">
        <f ca="1">'Landscape Trees '!F42</f>
        <v>6-8'</v>
      </c>
      <c r="F212" s="75">
        <f ca="1">'Landscape Trees '!G42</f>
        <v>58</v>
      </c>
      <c r="G212" s="76">
        <f ca="1">'Landscape Trees '!H42</f>
        <v>70</v>
      </c>
      <c r="H212" s="51">
        <f>'Landscape Trees '!I42</f>
        <v>0</v>
      </c>
    </row>
    <row r="213" spans="1:8" ht="12.75" x14ac:dyDescent="0.2">
      <c r="A213" s="51" t="str">
        <f ca="1">'Landscape Trees '!A43</f>
        <v>Carpinus caroliniana</v>
      </c>
      <c r="B213" s="51" t="str">
        <f ca="1">'Landscape Trees '!C43</f>
        <v>American Hornbeam</v>
      </c>
      <c r="C213" s="51" t="str">
        <f ca="1">'Landscape Trees '!D43</f>
        <v>#15</v>
      </c>
      <c r="D213" s="51" t="str">
        <f ca="1">'Landscape Trees '!E43</f>
        <v>1-1.25"</v>
      </c>
      <c r="E213" s="51" t="str">
        <f ca="1">'Landscape Trees '!F43</f>
        <v>9-10'</v>
      </c>
      <c r="F213" s="75">
        <f ca="1">'Landscape Trees '!G43</f>
        <v>6</v>
      </c>
      <c r="G213" s="76">
        <f ca="1">'Landscape Trees '!H43</f>
        <v>135</v>
      </c>
      <c r="H213" s="51">
        <f>'Landscape Trees '!I43</f>
        <v>0</v>
      </c>
    </row>
    <row r="214" spans="1:8" ht="12.75" x14ac:dyDescent="0.2">
      <c r="A214" s="51" t="str">
        <f ca="1">'Landscape Trees '!A44</f>
        <v>Catalpa bignonioides</v>
      </c>
      <c r="B214" s="51" t="str">
        <f ca="1">'Landscape Trees '!C44</f>
        <v>Southern Catalpa</v>
      </c>
      <c r="C214" s="51" t="str">
        <f ca="1">'Landscape Trees '!D44</f>
        <v>#5</v>
      </c>
      <c r="D214" s="51" t="str">
        <f ca="1">'Landscape Trees '!E44</f>
        <v>0.75-1.5"</v>
      </c>
      <c r="E214" s="51" t="str">
        <f ca="1">'Landscape Trees '!F44</f>
        <v>3-7'</v>
      </c>
      <c r="F214" s="75">
        <f ca="1">'Landscape Trees '!G44</f>
        <v>5</v>
      </c>
      <c r="G214" s="76">
        <f ca="1">'Landscape Trees '!H44</f>
        <v>50</v>
      </c>
      <c r="H214" s="51">
        <f>'Landscape Trees '!I44</f>
        <v>0</v>
      </c>
    </row>
    <row r="215" spans="1:8" ht="12.75" x14ac:dyDescent="0.2">
      <c r="A215" s="51" t="str">
        <f ca="1">'Landscape Trees '!A45</f>
        <v>Catalpa speciosa</v>
      </c>
      <c r="B215" s="51" t="str">
        <f ca="1">'Landscape Trees '!C45</f>
        <v>Northern Catalpa</v>
      </c>
      <c r="C215" s="51" t="str">
        <f ca="1">'Landscape Trees '!D45</f>
        <v>#5</v>
      </c>
      <c r="D215" s="51" t="str">
        <f ca="1">'Landscape Trees '!E45</f>
        <v>1.25-1.25"</v>
      </c>
      <c r="E215" s="51" t="str">
        <f ca="1">'Landscape Trees '!F45</f>
        <v>7-7'</v>
      </c>
      <c r="F215" s="75">
        <f ca="1">'Landscape Trees '!G45</f>
        <v>1</v>
      </c>
      <c r="G215" s="76">
        <f ca="1">'Landscape Trees '!H45</f>
        <v>50</v>
      </c>
      <c r="H215" s="51">
        <f>'Landscape Trees '!I45</f>
        <v>0</v>
      </c>
    </row>
    <row r="216" spans="1:8" ht="12.75" x14ac:dyDescent="0.2">
      <c r="A216" s="51" t="str">
        <f ca="1">'Landscape Trees '!A46</f>
        <v>Catalpa speciosa</v>
      </c>
      <c r="B216" s="51" t="str">
        <f ca="1">'Landscape Trees '!C46</f>
        <v>Northern Catalpa</v>
      </c>
      <c r="C216" s="51" t="str">
        <f ca="1">'Landscape Trees '!D46</f>
        <v>#15</v>
      </c>
      <c r="D216" s="51" t="str">
        <f ca="1">'Landscape Trees '!E46</f>
        <v>2-2.25"</v>
      </c>
      <c r="E216" s="51" t="str">
        <f ca="1">'Landscape Trees '!F46</f>
        <v>10-11'</v>
      </c>
      <c r="F216" s="75">
        <f ca="1">'Landscape Trees '!G46</f>
        <v>3</v>
      </c>
      <c r="G216" s="76">
        <f ca="1">'Landscape Trees '!H46</f>
        <v>135</v>
      </c>
      <c r="H216" s="51">
        <f>'Landscape Trees '!I46</f>
        <v>0</v>
      </c>
    </row>
    <row r="217" spans="1:8" ht="12.75" x14ac:dyDescent="0.2">
      <c r="A217" s="51" t="str">
        <f ca="1">'Landscape Trees '!A47</f>
        <v>Celtis laevigata</v>
      </c>
      <c r="B217" s="51" t="str">
        <f ca="1">'Landscape Trees '!C47</f>
        <v>Sugarberry</v>
      </c>
      <c r="C217" s="51" t="str">
        <f ca="1">'Landscape Trees '!D47</f>
        <v>#5</v>
      </c>
      <c r="D217" s="51" t="str">
        <f ca="1">'Landscape Trees '!E47</f>
        <v>0.5-1.25"</v>
      </c>
      <c r="E217" s="51" t="str">
        <f ca="1">'Landscape Trees '!F47</f>
        <v>4-9'</v>
      </c>
      <c r="F217" s="75">
        <f ca="1">'Landscape Trees '!G47</f>
        <v>73</v>
      </c>
      <c r="G217" s="76">
        <f ca="1">'Landscape Trees '!H47</f>
        <v>50</v>
      </c>
      <c r="H217" s="51">
        <f>'Landscape Trees '!I47</f>
        <v>0</v>
      </c>
    </row>
    <row r="218" spans="1:8" ht="12.75" x14ac:dyDescent="0.2">
      <c r="A218" s="51" t="str">
        <f ca="1">'Landscape Trees '!A48</f>
        <v>Celtis occidentalis</v>
      </c>
      <c r="B218" s="51" t="str">
        <f ca="1">'Landscape Trees '!C48</f>
        <v>Hackberry</v>
      </c>
      <c r="C218" s="51" t="str">
        <f ca="1">'Landscape Trees '!D48</f>
        <v>#5</v>
      </c>
      <c r="D218" s="51" t="str">
        <f ca="1">'Landscape Trees '!E48</f>
        <v>0.75-1.25"</v>
      </c>
      <c r="E218" s="51" t="str">
        <f ca="1">'Landscape Trees '!F48</f>
        <v>5-11'</v>
      </c>
      <c r="F218" s="75">
        <f ca="1">'Landscape Trees '!G48</f>
        <v>257</v>
      </c>
      <c r="G218" s="76">
        <f ca="1">'Landscape Trees '!H48</f>
        <v>50</v>
      </c>
      <c r="H218" s="51">
        <f>'Landscape Trees '!I48</f>
        <v>0</v>
      </c>
    </row>
    <row r="219" spans="1:8" ht="12.75" x14ac:dyDescent="0.2">
      <c r="A219" s="51" t="str">
        <f ca="1">'Landscape Trees '!A49</f>
        <v>Celtis occidentalis 'Ultra'</v>
      </c>
      <c r="B219" s="51" t="str">
        <f ca="1">'Landscape Trees '!C49</f>
        <v>Ultra Hackberry (Discounted)</v>
      </c>
      <c r="C219" s="51" t="str">
        <f ca="1">'Landscape Trees '!D49</f>
        <v>#25</v>
      </c>
      <c r="D219" s="51" t="str">
        <f ca="1">'Landscape Trees '!E49</f>
        <v>1.75-2"</v>
      </c>
      <c r="E219" s="51" t="str">
        <f ca="1">'Landscape Trees '!F49</f>
        <v>12-13'</v>
      </c>
      <c r="F219" s="75">
        <f ca="1">'Landscape Trees '!G49</f>
        <v>3</v>
      </c>
      <c r="G219" s="76">
        <f ca="1">'Landscape Trees '!H49</f>
        <v>100</v>
      </c>
      <c r="H219" s="51">
        <f>'Landscape Trees '!I49</f>
        <v>0</v>
      </c>
    </row>
    <row r="220" spans="1:8" ht="12.75" x14ac:dyDescent="0.2">
      <c r="A220" s="51" t="str">
        <f ca="1">'Landscape Trees '!A50</f>
        <v>Cephalanthus occidentalis</v>
      </c>
      <c r="B220" s="51" t="str">
        <f ca="1">'Landscape Trees '!C50</f>
        <v>Buttonbush</v>
      </c>
      <c r="C220" s="51" t="str">
        <f ca="1">'Landscape Trees '!D50</f>
        <v>#5</v>
      </c>
      <c r="D220" s="51" t="str">
        <f ca="1">'Landscape Trees '!E50</f>
        <v>Multi</v>
      </c>
      <c r="E220" s="51" t="str">
        <f ca="1">'Landscape Trees '!F50</f>
        <v>3-3'</v>
      </c>
      <c r="F220" s="75">
        <f ca="1">'Landscape Trees '!G50</f>
        <v>31</v>
      </c>
      <c r="G220" s="76">
        <f ca="1">'Landscape Trees '!H50</f>
        <v>37</v>
      </c>
      <c r="H220" s="51">
        <f>'Landscape Trees '!I50</f>
        <v>0</v>
      </c>
    </row>
    <row r="221" spans="1:8" ht="12.75" x14ac:dyDescent="0.2">
      <c r="A221" s="51" t="str">
        <f ca="1">'Landscape Trees '!A51</f>
        <v>Cercis canadensis</v>
      </c>
      <c r="B221" s="51" t="str">
        <f ca="1">'Landscape Trees '!C51</f>
        <v>Eastern Redbud</v>
      </c>
      <c r="C221" s="51" t="str">
        <f ca="1">'Landscape Trees '!D51</f>
        <v>#5</v>
      </c>
      <c r="D221" s="51" t="str">
        <f ca="1">'Landscape Trees '!E51</f>
        <v>0.25-0.75"</v>
      </c>
      <c r="E221" s="51" t="str">
        <f ca="1">'Landscape Trees '!F51</f>
        <v>4-7'</v>
      </c>
      <c r="F221" s="75">
        <f ca="1">'Landscape Trees '!G51</f>
        <v>109</v>
      </c>
      <c r="G221" s="76">
        <f ca="1">'Landscape Trees '!H51</f>
        <v>50</v>
      </c>
      <c r="H221" s="51">
        <f>'Landscape Trees '!I51</f>
        <v>0</v>
      </c>
    </row>
    <row r="222" spans="1:8" ht="12.75" x14ac:dyDescent="0.2">
      <c r="A222" s="51" t="str">
        <f ca="1">'Landscape Trees '!A52</f>
        <v>Cercis canadensis</v>
      </c>
      <c r="B222" s="51" t="str">
        <f ca="1">'Landscape Trees '!C52</f>
        <v>Eastern Redbud</v>
      </c>
      <c r="C222" s="51" t="str">
        <f ca="1">'Landscape Trees '!D52</f>
        <v>#7</v>
      </c>
      <c r="D222" s="51" t="str">
        <f ca="1">'Landscape Trees '!E52</f>
        <v>0.75-1"</v>
      </c>
      <c r="E222" s="51" t="str">
        <f ca="1">'Landscape Trees '!F52</f>
        <v>6-9'</v>
      </c>
      <c r="F222" s="75">
        <f ca="1">'Landscape Trees '!G52</f>
        <v>1</v>
      </c>
      <c r="G222" s="76">
        <f ca="1">'Landscape Trees '!H52</f>
        <v>70</v>
      </c>
      <c r="H222" s="51">
        <f>'Landscape Trees '!I52</f>
        <v>0</v>
      </c>
    </row>
    <row r="223" spans="1:8" ht="12.75" x14ac:dyDescent="0.2">
      <c r="A223" s="51" t="str">
        <f ca="1">'Landscape Trees '!A53</f>
        <v>Cercis canadensis</v>
      </c>
      <c r="B223" s="51" t="str">
        <f ca="1">'Landscape Trees '!C53</f>
        <v>Eastern Redbud</v>
      </c>
      <c r="C223" s="51" t="str">
        <f ca="1">'Landscape Trees '!D53</f>
        <v>#10</v>
      </c>
      <c r="D223" s="51" t="str">
        <f ca="1">'Landscape Trees '!E53</f>
        <v>0.75-1.5"</v>
      </c>
      <c r="E223" s="51" t="str">
        <f ca="1">'Landscape Trees '!F53</f>
        <v>6-11'</v>
      </c>
      <c r="F223" s="75">
        <f ca="1">'Landscape Trees '!G53</f>
        <v>15</v>
      </c>
      <c r="G223" s="76">
        <f ca="1">'Landscape Trees '!H53</f>
        <v>100</v>
      </c>
      <c r="H223" s="51">
        <f>'Landscape Trees '!I53</f>
        <v>0</v>
      </c>
    </row>
    <row r="224" spans="1:8" ht="12.75" x14ac:dyDescent="0.2">
      <c r="A224" s="51" t="str">
        <f ca="1">'Landscape Trees '!A54</f>
        <v>Cercis canadensis</v>
      </c>
      <c r="B224" s="51" t="str">
        <f ca="1">'Landscape Trees '!C54</f>
        <v>Eastern Redbud</v>
      </c>
      <c r="C224" s="51" t="str">
        <f ca="1">'Landscape Trees '!D54</f>
        <v>#15</v>
      </c>
      <c r="D224" s="51" t="str">
        <f ca="1">'Landscape Trees '!E54</f>
        <v>1.25-1.5"</v>
      </c>
      <c r="E224" s="51" t="str">
        <f ca="1">'Landscape Trees '!F54</f>
        <v>9-11'</v>
      </c>
      <c r="F224" s="75">
        <f ca="1">'Landscape Trees '!G54</f>
        <v>4</v>
      </c>
      <c r="G224" s="76">
        <f ca="1">'Landscape Trees '!H54</f>
        <v>135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 'Forest Pansy'</v>
      </c>
      <c r="B225" s="51" t="str">
        <f ca="1">'Landscape Trees '!C55</f>
        <v>Forest Pansy Redbud</v>
      </c>
      <c r="C225" s="51" t="str">
        <f ca="1">'Landscape Trees '!D55</f>
        <v>#10</v>
      </c>
      <c r="D225" s="51" t="str">
        <f ca="1">'Landscape Trees '!E55</f>
        <v>1-1.25"</v>
      </c>
      <c r="E225" s="51" t="str">
        <f ca="1">'Landscape Trees '!F55</f>
        <v>6-11'</v>
      </c>
      <c r="F225" s="75">
        <f ca="1">'Landscape Trees '!G55</f>
        <v>31</v>
      </c>
      <c r="G225" s="76">
        <f ca="1">'Landscape Trees '!H55</f>
        <v>100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 'Lavender Twist'</v>
      </c>
      <c r="B226" s="51" t="str">
        <f ca="1">'Landscape Trees '!C56</f>
        <v>Lavender Twist Redbud</v>
      </c>
      <c r="C226" s="51" t="str">
        <f ca="1">'Landscape Trees '!D56</f>
        <v>#7</v>
      </c>
      <c r="D226" s="51" t="str">
        <f ca="1">'Landscape Trees '!E56</f>
        <v>0.75-1"</v>
      </c>
      <c r="E226" s="51" t="str">
        <f ca="1">'Landscape Trees '!F56</f>
        <v>4-6'</v>
      </c>
      <c r="F226" s="75">
        <f ca="1">'Landscape Trees '!G56</f>
        <v>8</v>
      </c>
      <c r="G226" s="76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 'Ruby Falls'</v>
      </c>
      <c r="B227" s="51" t="str">
        <f ca="1">'Landscape Trees '!C57</f>
        <v>Ruby Falls Redbud</v>
      </c>
      <c r="C227" s="51" t="str">
        <f ca="1">'Landscape Trees '!D57</f>
        <v>#5</v>
      </c>
      <c r="D227" s="51" t="str">
        <f ca="1">'Landscape Trees '!E57</f>
        <v>0.5-0.5"</v>
      </c>
      <c r="E227" s="51" t="str">
        <f ca="1">'Landscape Trees '!F57</f>
        <v>2-3'</v>
      </c>
      <c r="F227" s="75">
        <f ca="1">'Landscape Trees '!G57</f>
        <v>5</v>
      </c>
      <c r="G227" s="76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 'Whitebud'</v>
      </c>
      <c r="B228" s="51" t="str">
        <f ca="1">'Landscape Trees '!C58</f>
        <v>Whitebud</v>
      </c>
      <c r="C228" s="51" t="str">
        <f ca="1">'Landscape Trees '!D58</f>
        <v>#15</v>
      </c>
      <c r="D228" s="51" t="str">
        <f ca="1">'Landscape Trees '!E58</f>
        <v>1-1"</v>
      </c>
      <c r="E228" s="51" t="str">
        <f ca="1">'Landscape Trees '!F58</f>
        <v>7-8'</v>
      </c>
      <c r="F228" s="75">
        <f ca="1">'Landscape Trees '!G58</f>
        <v>4</v>
      </c>
      <c r="G228" s="76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Chionanthus virginicus</v>
      </c>
      <c r="B229" s="51" t="str">
        <f ca="1">'Landscape Trees '!C59</f>
        <v>White Fringe Tree</v>
      </c>
      <c r="C229" s="51" t="str">
        <f ca="1">'Landscape Trees '!D59</f>
        <v>#5</v>
      </c>
      <c r="D229" s="51" t="str">
        <f ca="1">'Landscape Trees '!E59</f>
        <v>Multi</v>
      </c>
      <c r="E229" s="51" t="str">
        <f ca="1">'Landscape Trees '!F59</f>
        <v>1-3'</v>
      </c>
      <c r="F229" s="75">
        <f ca="1">'Landscape Trees '!G59</f>
        <v>72</v>
      </c>
      <c r="G229" s="76">
        <f ca="1">'Landscape Trees '!H59</f>
        <v>50</v>
      </c>
      <c r="H229" s="51">
        <f>'Landscape Trees '!I59</f>
        <v>0</v>
      </c>
    </row>
    <row r="230" spans="1:8" ht="12.75" x14ac:dyDescent="0.2">
      <c r="A230" s="51" t="str">
        <f ca="1">'Landscape Trees '!A60</f>
        <v>Cladastris kentuckea 'Perkins Pink'</v>
      </c>
      <c r="B230" s="51" t="str">
        <f ca="1">'Landscape Trees '!C60</f>
        <v>Perkins Pink Yellowwood</v>
      </c>
      <c r="C230" s="51" t="str">
        <f ca="1">'Landscape Trees '!D60</f>
        <v>#15</v>
      </c>
      <c r="D230" s="51" t="str">
        <f ca="1">'Landscape Trees '!E60</f>
        <v>1-1.25"</v>
      </c>
      <c r="E230" s="51" t="str">
        <f ca="1">'Landscape Trees '!F60</f>
        <v>9-11'</v>
      </c>
      <c r="F230" s="75">
        <f ca="1">'Landscape Trees '!G60</f>
        <v>3</v>
      </c>
      <c r="G230" s="76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Cladrastis kentukea</v>
      </c>
      <c r="B231" s="51" t="str">
        <f ca="1">'Landscape Trees '!C61</f>
        <v>Yellowwood</v>
      </c>
      <c r="C231" s="51" t="str">
        <f ca="1">'Landscape Trees '!D61</f>
        <v>#5</v>
      </c>
      <c r="D231" s="51" t="str">
        <f ca="1">'Landscape Trees '!E61</f>
        <v>0.5-0.75"</v>
      </c>
      <c r="E231" s="51" t="str">
        <f ca="1">'Landscape Trees '!F61</f>
        <v>4-8'</v>
      </c>
      <c r="F231" s="75">
        <f ca="1">'Landscape Trees '!G61</f>
        <v>130</v>
      </c>
      <c r="G231" s="76">
        <f ca="1">'Landscape Trees '!H61</f>
        <v>50</v>
      </c>
      <c r="H231" s="51">
        <f>'Landscape Trees '!I61</f>
        <v>0</v>
      </c>
    </row>
    <row r="232" spans="1:8" ht="12.75" x14ac:dyDescent="0.2">
      <c r="A232" s="51" t="str">
        <f ca="1">'Landscape Trees '!A62</f>
        <v>Cladrastis kentukea</v>
      </c>
      <c r="B232" s="51" t="str">
        <f ca="1">'Landscape Trees '!C62</f>
        <v>Yellowwood</v>
      </c>
      <c r="C232" s="51" t="str">
        <f ca="1">'Landscape Trees '!D62</f>
        <v>#15</v>
      </c>
      <c r="D232" s="51" t="str">
        <f ca="1">'Landscape Trees '!E62</f>
        <v>1-1.25"</v>
      </c>
      <c r="E232" s="51" t="str">
        <f ca="1">'Landscape Trees '!F62</f>
        <v>9-10'</v>
      </c>
      <c r="F232" s="75">
        <f ca="1">'Landscape Trees '!G62</f>
        <v>5</v>
      </c>
      <c r="G232" s="76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Cornus 'Appalachian Spring'</v>
      </c>
      <c r="B233" s="51" t="str">
        <f ca="1">'Landscape Trees '!C63</f>
        <v>Appalachian Spring Dogwood</v>
      </c>
      <c r="C233" s="51" t="str">
        <f ca="1">'Landscape Trees '!D63</f>
        <v>#10</v>
      </c>
      <c r="D233" s="51" t="str">
        <f ca="1">'Landscape Trees '!E63</f>
        <v>0.5-0.75"</v>
      </c>
      <c r="E233" s="51" t="str">
        <f ca="1">'Landscape Trees '!F63</f>
        <v>4-5'</v>
      </c>
      <c r="F233" s="75">
        <f ca="1">'Landscape Trees '!G63</f>
        <v>1</v>
      </c>
      <c r="G233" s="76">
        <f ca="1">'Landscape Trees '!H63</f>
        <v>100</v>
      </c>
      <c r="H233" s="51">
        <f>'Landscape Trees '!I63</f>
        <v>0</v>
      </c>
    </row>
    <row r="234" spans="1:8" ht="12.75" x14ac:dyDescent="0.2">
      <c r="A234" s="51" t="str">
        <f ca="1">'Landscape Trees '!A64</f>
        <v>Cornus florida</v>
      </c>
      <c r="B234" s="51" t="str">
        <f ca="1">'Landscape Trees '!C64</f>
        <v>White Dogwood</v>
      </c>
      <c r="C234" s="51" t="str">
        <f ca="1">'Landscape Trees '!D64</f>
        <v>#5</v>
      </c>
      <c r="D234" s="51" t="str">
        <f ca="1">'Landscape Trees '!E64</f>
        <v>0.25-0.75"</v>
      </c>
      <c r="E234" s="51" t="str">
        <f ca="1">'Landscape Trees '!F64</f>
        <v>4-7'</v>
      </c>
      <c r="F234" s="75">
        <f ca="1">'Landscape Trees '!G64</f>
        <v>159</v>
      </c>
      <c r="G234" s="76">
        <f ca="1">'Landscape Trees '!H64</f>
        <v>50</v>
      </c>
      <c r="H234" s="51">
        <f>'Landscape Trees '!I64</f>
        <v>0</v>
      </c>
    </row>
    <row r="235" spans="1:8" ht="12.75" x14ac:dyDescent="0.2">
      <c r="A235" s="51" t="str">
        <f ca="1">'Landscape Trees '!A65</f>
        <v>Cornus florida</v>
      </c>
      <c r="B235" s="51" t="str">
        <f ca="1">'Landscape Trees '!C65</f>
        <v>White Dogwood</v>
      </c>
      <c r="C235" s="51" t="str">
        <f ca="1">'Landscape Trees '!D65</f>
        <v>#7</v>
      </c>
      <c r="D235" s="51" t="str">
        <f ca="1">'Landscape Trees '!E65</f>
        <v>0.5-0.75"</v>
      </c>
      <c r="E235" s="51" t="str">
        <f ca="1">'Landscape Trees '!F65</f>
        <v>5-6'</v>
      </c>
      <c r="F235" s="75">
        <f ca="1">'Landscape Trees '!G65</f>
        <v>86</v>
      </c>
      <c r="G235" s="76">
        <f ca="1">'Landscape Trees '!H65</f>
        <v>70</v>
      </c>
      <c r="H235" s="51">
        <f>'Landscape Trees '!I65</f>
        <v>0</v>
      </c>
    </row>
    <row r="236" spans="1:8" ht="12.75" x14ac:dyDescent="0.2">
      <c r="A236" s="51" t="str">
        <f ca="1">'Landscape Trees '!A66</f>
        <v>Cornus florida 'Appalachian Mist'</v>
      </c>
      <c r="B236" s="51" t="str">
        <f ca="1">'Landscape Trees '!C66</f>
        <v>Appalachian Mist Dogwood</v>
      </c>
      <c r="C236" s="51" t="str">
        <f ca="1">'Landscape Trees '!D66</f>
        <v>#7</v>
      </c>
      <c r="D236" s="51" t="str">
        <f ca="1">'Landscape Trees '!E66</f>
        <v>0.5-1"</v>
      </c>
      <c r="E236" s="51" t="str">
        <f ca="1">'Landscape Trees '!F66</f>
        <v>4-5.5'</v>
      </c>
      <c r="F236" s="75">
        <f ca="1">'Landscape Trees '!G66</f>
        <v>25</v>
      </c>
      <c r="G236" s="76">
        <f ca="1">'Landscape Trees '!H66</f>
        <v>70</v>
      </c>
      <c r="H236" s="51">
        <f>'Landscape Trees '!I66</f>
        <v>0</v>
      </c>
    </row>
    <row r="237" spans="1:8" ht="12.75" x14ac:dyDescent="0.2">
      <c r="A237" s="51" t="str">
        <f ca="1">'Landscape Trees '!A67</f>
        <v>Cornus florida 'Appalachian Snow'</v>
      </c>
      <c r="B237" s="51" t="str">
        <f ca="1">'Landscape Trees '!C67</f>
        <v>Appalachian Snow Dogwood</v>
      </c>
      <c r="C237" s="51" t="str">
        <f ca="1">'Landscape Trees '!D67</f>
        <v>#5</v>
      </c>
      <c r="D237" s="51" t="str">
        <f ca="1">'Landscape Trees '!E67</f>
        <v>0.5-0.75"</v>
      </c>
      <c r="E237" s="51" t="str">
        <f ca="1">'Landscape Trees '!F67</f>
        <v>4-5'</v>
      </c>
      <c r="F237" s="75">
        <f ca="1">'Landscape Trees '!G67</f>
        <v>19</v>
      </c>
      <c r="G237" s="76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Cornus florida 'Cherokee Brave'</v>
      </c>
      <c r="B238" s="51" t="str">
        <f ca="1">'Landscape Trees '!C68</f>
        <v>Cherokee Brave Dogwood</v>
      </c>
      <c r="C238" s="51" t="str">
        <f ca="1">'Landscape Trees '!D68</f>
        <v>#5</v>
      </c>
      <c r="D238" s="51" t="str">
        <f ca="1">'Landscape Trees '!E68</f>
        <v>0.5-0.75"</v>
      </c>
      <c r="E238" s="51" t="str">
        <f ca="1">'Landscape Trees '!F68</f>
        <v>4-5'</v>
      </c>
      <c r="F238" s="75">
        <f ca="1">'Landscape Trees '!G68</f>
        <v>111</v>
      </c>
      <c r="G238" s="76">
        <f ca="1">'Landscape Trees '!H68</f>
        <v>50</v>
      </c>
      <c r="H238" s="51">
        <f>'Landscape Trees '!I68</f>
        <v>0</v>
      </c>
    </row>
    <row r="239" spans="1:8" ht="12.75" x14ac:dyDescent="0.2">
      <c r="A239" s="51" t="str">
        <f ca="1">'Landscape Trees '!A69</f>
        <v>Cornus florida 'Cherokee Brave'</v>
      </c>
      <c r="B239" s="51" t="str">
        <f ca="1">'Landscape Trees '!C69</f>
        <v>Cherokee Brave Dogwood</v>
      </c>
      <c r="C239" s="51" t="str">
        <f ca="1">'Landscape Trees '!D69</f>
        <v>#7</v>
      </c>
      <c r="D239" s="51" t="str">
        <f ca="1">'Landscape Trees '!E69</f>
        <v>0.5-1"</v>
      </c>
      <c r="E239" s="51" t="str">
        <f ca="1">'Landscape Trees '!F69</f>
        <v>4-6'</v>
      </c>
      <c r="F239" s="75">
        <f ca="1">'Landscape Trees '!G69</f>
        <v>31</v>
      </c>
      <c r="G239" s="76">
        <f ca="1">'Landscape Trees '!H69</f>
        <v>70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florida 'Cherokee Brave'</v>
      </c>
      <c r="B240" s="51" t="str">
        <f ca="1">'Landscape Trees '!C70</f>
        <v>Cherokee Brave Dogwood</v>
      </c>
      <c r="C240" s="51" t="str">
        <f ca="1">'Landscape Trees '!D70</f>
        <v>#10</v>
      </c>
      <c r="D240" s="51" t="str">
        <f ca="1">'Landscape Trees '!E70</f>
        <v>0.75-1"</v>
      </c>
      <c r="E240" s="51" t="str">
        <f ca="1">'Landscape Trees '!F70</f>
        <v>6-8'</v>
      </c>
      <c r="F240" s="75">
        <f ca="1">'Landscape Trees '!G70</f>
        <v>13</v>
      </c>
      <c r="G240" s="76">
        <f ca="1">'Landscape Trees '!H70</f>
        <v>100</v>
      </c>
      <c r="H240" s="51">
        <f>'Landscape Trees '!I70</f>
        <v>0</v>
      </c>
    </row>
    <row r="241" spans="1:8" ht="12.75" x14ac:dyDescent="0.2">
      <c r="A241" s="51" t="str">
        <f ca="1">'Landscape Trees '!A71</f>
        <v>Cornus florida 'Cherokee Princess'</v>
      </c>
      <c r="B241" s="51" t="str">
        <f ca="1">'Landscape Trees '!C71</f>
        <v>Cherokee Princess Dogwood</v>
      </c>
      <c r="C241" s="51" t="str">
        <f ca="1">'Landscape Trees '!D71</f>
        <v>#7</v>
      </c>
      <c r="D241" s="51" t="str">
        <f ca="1">'Landscape Trees '!E71</f>
        <v>0.5-0.75"</v>
      </c>
      <c r="E241" s="51" t="str">
        <f ca="1">'Landscape Trees '!F71</f>
        <v>4-6'</v>
      </c>
      <c r="F241" s="75">
        <f ca="1">'Landscape Trees '!G71</f>
        <v>17</v>
      </c>
      <c r="G241" s="76">
        <f ca="1">'Landscape Trees '!H71</f>
        <v>70</v>
      </c>
      <c r="H241" s="51">
        <f>'Landscape Trees '!I71</f>
        <v>0</v>
      </c>
    </row>
    <row r="242" spans="1:8" ht="12.75" x14ac:dyDescent="0.2">
      <c r="A242" s="51" t="str">
        <f ca="1">'Landscape Trees '!A72</f>
        <v>Cornus florida 'Cloud 9'</v>
      </c>
      <c r="B242" s="51" t="str">
        <f ca="1">'Landscape Trees '!C72</f>
        <v>Cloud 9 Dogwood</v>
      </c>
      <c r="C242" s="51" t="str">
        <f ca="1">'Landscape Trees '!D72</f>
        <v>#5</v>
      </c>
      <c r="D242" s="51" t="str">
        <f ca="1">'Landscape Trees '!E72</f>
        <v>0.75-1"</v>
      </c>
      <c r="E242" s="51" t="str">
        <f ca="1">'Landscape Trees '!F72</f>
        <v>4-5.5'</v>
      </c>
      <c r="F242" s="75">
        <f ca="1">'Landscape Trees '!G72</f>
        <v>21</v>
      </c>
      <c r="G242" s="76">
        <f ca="1">'Landscape Trees '!H72</f>
        <v>50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kousa 'Rutpink'</v>
      </c>
      <c r="B243" s="51" t="str">
        <f ca="1">'Landscape Trees '!C73</f>
        <v>Scarlet Fire Dogwood</v>
      </c>
      <c r="C243" s="51" t="str">
        <f ca="1">'Landscape Trees '!D73</f>
        <v>#7</v>
      </c>
      <c r="D243" s="51" t="str">
        <f ca="1">'Landscape Trees '!E73</f>
        <v>0.75-1.25"</v>
      </c>
      <c r="E243" s="51" t="str">
        <f ca="1">'Landscape Trees '!F73</f>
        <v>7-9'</v>
      </c>
      <c r="F243" s="75">
        <f ca="1">'Landscape Trees '!G73</f>
        <v>38</v>
      </c>
      <c r="G243" s="76">
        <f ca="1">'Landscape Trees '!H73</f>
        <v>70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kousa 'Rutpink'</v>
      </c>
      <c r="B244" s="51" t="str">
        <f ca="1">'Landscape Trees '!C74</f>
        <v>Scarlet Fire Dogwood</v>
      </c>
      <c r="C244" s="51" t="str">
        <f ca="1">'Landscape Trees '!D74</f>
        <v>#10</v>
      </c>
      <c r="D244" s="51" t="str">
        <f ca="1">'Landscape Trees '!E74</f>
        <v>1-1.5"</v>
      </c>
      <c r="E244" s="51" t="str">
        <f ca="1">'Landscape Trees '!F74</f>
        <v>8-10'</v>
      </c>
      <c r="F244" s="75">
        <f ca="1">'Landscape Trees '!G74</f>
        <v>19</v>
      </c>
      <c r="G244" s="76">
        <f ca="1">'Landscape Trees '!H74</f>
        <v>100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sericea</v>
      </c>
      <c r="B245" s="51" t="str">
        <f ca="1">'Landscape Trees '!C75</f>
        <v>Red Twig Dogwood</v>
      </c>
      <c r="C245" s="51" t="str">
        <f ca="1">'Landscape Trees '!D75</f>
        <v>#5</v>
      </c>
      <c r="D245" s="51" t="str">
        <f ca="1">'Landscape Trees '!E75</f>
        <v>Multi</v>
      </c>
      <c r="E245" s="51" t="str">
        <f ca="1">'Landscape Trees '!F75</f>
        <v>3-4'</v>
      </c>
      <c r="F245" s="75">
        <f ca="1">'Landscape Trees '!G75</f>
        <v>6</v>
      </c>
      <c r="G245" s="76">
        <f ca="1">'Landscape Trees '!H75</f>
        <v>37</v>
      </c>
      <c r="H245" s="51">
        <f>'Landscape Trees '!I75</f>
        <v>0</v>
      </c>
    </row>
    <row r="246" spans="1:8" ht="12.75" x14ac:dyDescent="0.2">
      <c r="A246" s="51" t="str">
        <f ca="1">'Landscape Trees '!A76</f>
        <v>Cornus x 'Rutgan' Stellar Pink</v>
      </c>
      <c r="B246" s="51" t="str">
        <f ca="1">'Landscape Trees '!C76</f>
        <v>Stellar Pink Dogwood</v>
      </c>
      <c r="C246" s="51" t="str">
        <f ca="1">'Landscape Trees '!D76</f>
        <v>#10</v>
      </c>
      <c r="D246" s="51" t="str">
        <f ca="1">'Landscape Trees '!E76</f>
        <v>1.25-1.5"</v>
      </c>
      <c r="E246" s="51" t="str">
        <f ca="1">'Landscape Trees '!F76</f>
        <v>9-11'</v>
      </c>
      <c r="F246" s="75">
        <f ca="1">'Landscape Trees '!G76</f>
        <v>12</v>
      </c>
      <c r="G246" s="76">
        <f ca="1">'Landscape Trees '!H76</f>
        <v>100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x Rutcan 'Constellation'</v>
      </c>
      <c r="B247" s="51" t="str">
        <f ca="1">'Landscape Trees '!C77</f>
        <v>Constellation Dogwood</v>
      </c>
      <c r="C247" s="51" t="str">
        <f ca="1">'Landscape Trees '!D77</f>
        <v>#10</v>
      </c>
      <c r="D247" s="51" t="str">
        <f ca="1">'Landscape Trees '!E77</f>
        <v>1-1.25"</v>
      </c>
      <c r="E247" s="51" t="str">
        <f ca="1">'Landscape Trees '!F77</f>
        <v>8-9.5'</v>
      </c>
      <c r="F247" s="75">
        <f ca="1">'Landscape Trees '!G77</f>
        <v>31</v>
      </c>
      <c r="G247" s="76">
        <f ca="1">'Landscape Trees '!H77</f>
        <v>100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x Rutcan 'Constellation'</v>
      </c>
      <c r="B248" s="51" t="str">
        <f ca="1">'Landscape Trees '!C78</f>
        <v>Constellation Dogwood</v>
      </c>
      <c r="C248" s="51" t="str">
        <f ca="1">'Landscape Trees '!D78</f>
        <v>#15</v>
      </c>
      <c r="D248" s="51" t="str">
        <f ca="1">'Landscape Trees '!E78</f>
        <v>1-1.25"</v>
      </c>
      <c r="E248" s="51" t="str">
        <f ca="1">'Landscape Trees '!F78</f>
        <v>6-10'</v>
      </c>
      <c r="F248" s="75">
        <f ca="1">'Landscape Trees '!G78</f>
        <v>23</v>
      </c>
      <c r="G248" s="76">
        <f ca="1">'Landscape Trees '!H78</f>
        <v>135</v>
      </c>
      <c r="H248" s="51">
        <f>'Landscape Trees '!I78</f>
        <v>0</v>
      </c>
    </row>
    <row r="249" spans="1:8" ht="12.75" x14ac:dyDescent="0.2">
      <c r="A249" s="51" t="str">
        <f ca="1">'Landscape Trees '!A79</f>
        <v>Cotinus coggygria 'Royal Purple'</v>
      </c>
      <c r="B249" s="51" t="str">
        <f ca="1">'Landscape Trees '!C79</f>
        <v>Royal Purple Smokebush</v>
      </c>
      <c r="C249" s="51" t="str">
        <f ca="1">'Landscape Trees '!D79</f>
        <v>#5</v>
      </c>
      <c r="D249" s="51" t="str">
        <f ca="1">'Landscape Trees '!E79</f>
        <v>Multi</v>
      </c>
      <c r="E249" s="51" t="str">
        <f ca="1">'Landscape Trees '!F79</f>
        <v>7-9'</v>
      </c>
      <c r="F249" s="75">
        <f ca="1">'Landscape Trees '!G79</f>
        <v>12</v>
      </c>
      <c r="G249" s="76">
        <f ca="1">'Landscape Trees '!H79</f>
        <v>50</v>
      </c>
      <c r="H249" s="51">
        <f>'Landscape Trees '!I79</f>
        <v>0</v>
      </c>
    </row>
    <row r="250" spans="1:8" ht="12.75" x14ac:dyDescent="0.2">
      <c r="A250" s="51" t="str">
        <f ca="1">'Landscape Trees '!A80</f>
        <v>Cotinus obovatus</v>
      </c>
      <c r="B250" s="51" t="str">
        <f ca="1">'Landscape Trees '!C80</f>
        <v>Smokebush (Native)</v>
      </c>
      <c r="C250" s="51" t="str">
        <f ca="1">'Landscape Trees '!D80</f>
        <v>#5</v>
      </c>
      <c r="D250" s="51" t="str">
        <f ca="1">'Landscape Trees '!E80</f>
        <v>0.5-1"</v>
      </c>
      <c r="E250" s="51" t="str">
        <f ca="1">'Landscape Trees '!F80</f>
        <v>7-10'</v>
      </c>
      <c r="F250" s="75">
        <f ca="1">'Landscape Trees '!G80</f>
        <v>63</v>
      </c>
      <c r="G250" s="76">
        <f ca="1">'Landscape Trees '!H80</f>
        <v>50</v>
      </c>
      <c r="H250" s="51">
        <f>'Landscape Trees '!I80</f>
        <v>0</v>
      </c>
    </row>
    <row r="251" spans="1:8" ht="12.75" x14ac:dyDescent="0.2">
      <c r="A251" s="51" t="str">
        <f ca="1">'Landscape Trees '!A81</f>
        <v>Crataegus marshallii</v>
      </c>
      <c r="B251" s="51" t="str">
        <f ca="1">'Landscape Trees '!C81</f>
        <v>Parsley Hawthorn</v>
      </c>
      <c r="C251" s="51" t="str">
        <f ca="1">'Landscape Trees '!D81</f>
        <v>#5</v>
      </c>
      <c r="D251" s="51" t="str">
        <f ca="1">'Landscape Trees '!E81</f>
        <v>0.25-0.75"</v>
      </c>
      <c r="E251" s="51" t="str">
        <f ca="1">'Landscape Trees '!F81</f>
        <v>3-8'</v>
      </c>
      <c r="F251" s="75">
        <f ca="1">'Landscape Trees '!G81</f>
        <v>34</v>
      </c>
      <c r="G251" s="76">
        <f ca="1">'Landscape Trees '!H81</f>
        <v>50</v>
      </c>
      <c r="H251" s="51">
        <f>'Landscape Trees '!I81</f>
        <v>0</v>
      </c>
    </row>
    <row r="252" spans="1:8" ht="12.75" x14ac:dyDescent="0.2">
      <c r="A252" s="51" t="str">
        <f ca="1">'Landscape Trees '!A82</f>
        <v>Crataegus viridis 'Winter King'</v>
      </c>
      <c r="B252" s="51" t="str">
        <f ca="1">'Landscape Trees '!C82</f>
        <v>Winter King Hawthorn</v>
      </c>
      <c r="C252" s="51" t="str">
        <f ca="1">'Landscape Trees '!D82</f>
        <v>#5</v>
      </c>
      <c r="D252" s="51" t="str">
        <f ca="1">'Landscape Trees '!E82</f>
        <v>0.75-1"</v>
      </c>
      <c r="E252" s="51" t="str">
        <f ca="1">'Landscape Trees '!F82</f>
        <v>5-8'</v>
      </c>
      <c r="F252" s="75">
        <f ca="1">'Landscape Trees '!G82</f>
        <v>29</v>
      </c>
      <c r="G252" s="76">
        <f ca="1">'Landscape Trees '!H82</f>
        <v>70</v>
      </c>
      <c r="H252" s="51">
        <f>'Landscape Trees '!I82</f>
        <v>0</v>
      </c>
    </row>
    <row r="253" spans="1:8" ht="12.75" x14ac:dyDescent="0.2">
      <c r="A253" s="51" t="str">
        <f ca="1">'Landscape Trees '!A83</f>
        <v>Crataegus viridis 'Winter King'</v>
      </c>
      <c r="B253" s="51" t="str">
        <f ca="1">'Landscape Trees '!C83</f>
        <v>Winter King Hawthorn</v>
      </c>
      <c r="C253" s="51" t="str">
        <f ca="1">'Landscape Trees '!D83</f>
        <v>#15</v>
      </c>
      <c r="D253" s="51" t="str">
        <f ca="1">'Landscape Trees '!E83</f>
        <v>1.25-1.5"</v>
      </c>
      <c r="E253" s="51" t="str">
        <f ca="1">'Landscape Trees '!F83</f>
        <v>9-11'</v>
      </c>
      <c r="F253" s="75">
        <f ca="1">'Landscape Trees '!G83</f>
        <v>35</v>
      </c>
      <c r="G253" s="76">
        <f ca="1">'Landscape Trees '!H83</f>
        <v>135</v>
      </c>
      <c r="H253" s="51">
        <f>'Landscape Trees '!I83</f>
        <v>0</v>
      </c>
    </row>
    <row r="254" spans="1:8" ht="12.75" x14ac:dyDescent="0.2">
      <c r="A254" s="51" t="str">
        <f ca="1">'Landscape Trees '!A84</f>
        <v>Diospyros virginiana</v>
      </c>
      <c r="B254" s="51" t="str">
        <f ca="1">'Landscape Trees '!C84</f>
        <v>American Persimmon</v>
      </c>
      <c r="C254" s="51" t="str">
        <f ca="1">'Landscape Trees '!D84</f>
        <v>#7</v>
      </c>
      <c r="D254" s="51" t="str">
        <f ca="1">'Landscape Trees '!E84</f>
        <v>0.75-1"</v>
      </c>
      <c r="E254" s="51" t="str">
        <f ca="1">'Landscape Trees '!F84</f>
        <v>6-7'</v>
      </c>
      <c r="F254" s="75">
        <f ca="1">'Landscape Trees '!G84</f>
        <v>1</v>
      </c>
      <c r="G254" s="76">
        <f ca="1">'Landscape Trees '!H84</f>
        <v>50</v>
      </c>
      <c r="H254" s="51">
        <f>'Landscape Trees '!I84</f>
        <v>0</v>
      </c>
    </row>
    <row r="255" spans="1:8" ht="12.75" x14ac:dyDescent="0.2">
      <c r="A255" s="51" t="str">
        <f ca="1">'Landscape Trees '!A85</f>
        <v>Euonymus americanus</v>
      </c>
      <c r="B255" s="51" t="str">
        <f ca="1">'Landscape Trees '!C85</f>
        <v>Strawberry Bush</v>
      </c>
      <c r="C255" s="51" t="str">
        <f ca="1">'Landscape Trees '!D85</f>
        <v>#5</v>
      </c>
      <c r="D255" s="51" t="str">
        <f ca="1">'Landscape Trees '!E85</f>
        <v>Multi</v>
      </c>
      <c r="E255" s="51" t="str">
        <f ca="1">'Landscape Trees '!F85</f>
        <v>1-5'</v>
      </c>
      <c r="F255" s="75">
        <f ca="1">'Landscape Trees '!G85</f>
        <v>29</v>
      </c>
      <c r="G255" s="76">
        <f ca="1">'Landscape Trees '!H85</f>
        <v>50</v>
      </c>
      <c r="H255" s="51">
        <f>'Landscape Trees '!I85</f>
        <v>0</v>
      </c>
    </row>
    <row r="256" spans="1:8" ht="12.75" x14ac:dyDescent="0.2">
      <c r="A256" s="51" t="str">
        <f ca="1">'Landscape Trees '!A86</f>
        <v>Fagus grandiflora</v>
      </c>
      <c r="B256" s="51" t="str">
        <f ca="1">'Landscape Trees '!C86</f>
        <v>American Beech</v>
      </c>
      <c r="C256" s="51" t="str">
        <f ca="1">'Landscape Trees '!D86</f>
        <v>#5</v>
      </c>
      <c r="D256" s="51" t="str">
        <f ca="1">'Landscape Trees '!E86</f>
        <v>0.5-1"</v>
      </c>
      <c r="E256" s="51" t="str">
        <f ca="1">'Landscape Trees '!F86</f>
        <v>4-6'</v>
      </c>
      <c r="F256" s="75">
        <f ca="1">'Landscape Trees '!G86</f>
        <v>53</v>
      </c>
      <c r="G256" s="76">
        <f ca="1">'Landscape Trees '!H86</f>
        <v>70</v>
      </c>
      <c r="H256" s="51">
        <f>'Landscape Trees '!I86</f>
        <v>0</v>
      </c>
    </row>
    <row r="257" spans="1:8" ht="12.75" x14ac:dyDescent="0.2">
      <c r="A257" s="51" t="str">
        <f ca="1">'Landscape Trees '!A87</f>
        <v>Fothergilla x 'Mt. Airy'</v>
      </c>
      <c r="B257" s="51" t="str">
        <f ca="1">'Landscape Trees '!C87</f>
        <v>Mt. Airy Fothergilla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1-2'</v>
      </c>
      <c r="F257" s="75">
        <f ca="1">'Landscape Trees '!G87</f>
        <v>4</v>
      </c>
      <c r="G257" s="76">
        <f ca="1">'Landscape Trees '!H87</f>
        <v>37</v>
      </c>
      <c r="H257" s="51">
        <f>'Landscape Trees '!I87</f>
        <v>0</v>
      </c>
    </row>
    <row r="258" spans="1:8" ht="12.75" x14ac:dyDescent="0.2">
      <c r="A258" s="51" t="str">
        <f ca="1">'Landscape Trees '!A88</f>
        <v>Ginkgo biloba 'Autumn Gold'</v>
      </c>
      <c r="B258" s="51" t="str">
        <f ca="1">'Landscape Trees '!C88</f>
        <v>Autumn Gold Ginkgo</v>
      </c>
      <c r="C258" s="51" t="str">
        <f ca="1">'Landscape Trees '!D88</f>
        <v>#5</v>
      </c>
      <c r="D258" s="51" t="str">
        <f ca="1">'Landscape Trees '!E88</f>
        <v>0.75-1"</v>
      </c>
      <c r="E258" s="51" t="str">
        <f ca="1">'Landscape Trees '!F88</f>
        <v>5-6.5'</v>
      </c>
      <c r="F258" s="75">
        <f ca="1">'Landscape Trees '!G88</f>
        <v>1</v>
      </c>
      <c r="G258" s="76">
        <f ca="1">'Landscape Trees '!H88</f>
        <v>70</v>
      </c>
      <c r="H258" s="51">
        <f>'Landscape Trees '!I88</f>
        <v>0</v>
      </c>
    </row>
    <row r="259" spans="1:8" ht="12.75" x14ac:dyDescent="0.2">
      <c r="A259" s="51" t="str">
        <f ca="1">'Landscape Trees '!A89</f>
        <v>Ginkgo biloba 'Autumn Gold'</v>
      </c>
      <c r="B259" s="51" t="str">
        <f ca="1">'Landscape Trees '!C89</f>
        <v>Autumn Gold Ginkgo</v>
      </c>
      <c r="C259" s="51" t="str">
        <f ca="1">'Landscape Trees '!D89</f>
        <v>#7</v>
      </c>
      <c r="D259" s="51" t="str">
        <f ca="1">'Landscape Trees '!E89</f>
        <v>0.75-1"</v>
      </c>
      <c r="E259" s="51" t="str">
        <f ca="1">'Landscape Trees '!F89</f>
        <v>4-7'</v>
      </c>
      <c r="F259" s="75">
        <f ca="1">'Landscape Trees '!G89</f>
        <v>15</v>
      </c>
      <c r="G259" s="76">
        <f ca="1">'Landscape Trees '!H89</f>
        <v>70</v>
      </c>
      <c r="H259" s="51">
        <f>'Landscape Trees '!I89</f>
        <v>0</v>
      </c>
    </row>
    <row r="260" spans="1:8" ht="12.75" x14ac:dyDescent="0.2">
      <c r="A260" s="51" t="str">
        <f ca="1">'Landscape Trees '!A90</f>
        <v>Ginkgo biloba 'Magyar'</v>
      </c>
      <c r="B260" s="51" t="str">
        <f ca="1">'Landscape Trees '!C90</f>
        <v>Magyar Ginkgo</v>
      </c>
      <c r="C260" s="51" t="str">
        <f ca="1">'Landscape Trees '!D90</f>
        <v>#5</v>
      </c>
      <c r="D260" s="51" t="str">
        <f ca="1">'Landscape Trees '!E90</f>
        <v>0.75-1"</v>
      </c>
      <c r="E260" s="51" t="str">
        <f ca="1">'Landscape Trees '!F90</f>
        <v>4-7'</v>
      </c>
      <c r="F260" s="75">
        <f ca="1">'Landscape Trees '!G90</f>
        <v>4</v>
      </c>
      <c r="G260" s="76">
        <f ca="1">'Landscape Trees '!H90</f>
        <v>70</v>
      </c>
      <c r="H260" s="51">
        <f>'Landscape Trees '!I90</f>
        <v>0</v>
      </c>
    </row>
    <row r="261" spans="1:8" ht="12.75" x14ac:dyDescent="0.2">
      <c r="A261" s="51" t="str">
        <f ca="1">'Landscape Trees '!A91</f>
        <v>Ginkgo biloba 'Magyar'</v>
      </c>
      <c r="B261" s="51" t="str">
        <f ca="1">'Landscape Trees '!C91</f>
        <v>Magyar Ginkgo</v>
      </c>
      <c r="C261" s="51" t="str">
        <f ca="1">'Landscape Trees '!D91</f>
        <v>#7</v>
      </c>
      <c r="D261" s="51" t="str">
        <f ca="1">'Landscape Trees '!E91</f>
        <v>1-1.25"</v>
      </c>
      <c r="E261" s="51" t="str">
        <f ca="1">'Landscape Trees '!F91</f>
        <v>6.5-7.5'</v>
      </c>
      <c r="F261" s="75">
        <f ca="1">'Landscape Trees '!G91</f>
        <v>3</v>
      </c>
      <c r="G261" s="76">
        <f ca="1">'Landscape Trees '!H91</f>
        <v>70</v>
      </c>
      <c r="H261" s="51">
        <f>'Landscape Trees '!I91</f>
        <v>0</v>
      </c>
    </row>
    <row r="262" spans="1:8" ht="12.75" x14ac:dyDescent="0.2">
      <c r="A262" s="51" t="str">
        <f ca="1">'Landscape Trees '!A92</f>
        <v>Ginkgo biloba 'Magyar'</v>
      </c>
      <c r="B262" s="51" t="str">
        <f ca="1">'Landscape Trees '!C92</f>
        <v>Magyar Ginkgo</v>
      </c>
      <c r="C262" s="51" t="str">
        <f ca="1">'Landscape Trees '!D92</f>
        <v>#15</v>
      </c>
      <c r="D262" s="51" t="str">
        <f ca="1">'Landscape Trees '!E92</f>
        <v>1-1.25"</v>
      </c>
      <c r="E262" s="51" t="str">
        <f ca="1">'Landscape Trees '!F92</f>
        <v>9-9.5'</v>
      </c>
      <c r="F262" s="75">
        <f ca="1">'Landscape Trees '!G92</f>
        <v>3</v>
      </c>
      <c r="G262" s="76">
        <f ca="1">'Landscape Trees '!H92</f>
        <v>135</v>
      </c>
      <c r="H262" s="51">
        <f>'Landscape Trees '!I92</f>
        <v>0</v>
      </c>
    </row>
    <row r="263" spans="1:8" ht="12.75" x14ac:dyDescent="0.2">
      <c r="A263" s="51" t="str">
        <f ca="1">'Landscape Trees '!A93</f>
        <v>Ginkgo biloba 'Princeton Sentry'</v>
      </c>
      <c r="B263" s="51" t="str">
        <f ca="1">'Landscape Trees '!C93</f>
        <v xml:space="preserve">Princeton Sentry Ginkgo </v>
      </c>
      <c r="C263" s="51" t="str">
        <f ca="1">'Landscape Trees '!D93</f>
        <v>#5</v>
      </c>
      <c r="D263" s="51" t="str">
        <f ca="1">'Landscape Trees '!E93</f>
        <v>0.5-0.75"</v>
      </c>
      <c r="E263" s="51" t="str">
        <f ca="1">'Landscape Trees '!F93</f>
        <v>3-5'</v>
      </c>
      <c r="F263" s="75">
        <f ca="1">'Landscape Trees '!G93</f>
        <v>3</v>
      </c>
      <c r="G263" s="76">
        <f ca="1">'Landscape Trees '!H93</f>
        <v>70</v>
      </c>
      <c r="H263" s="51">
        <f>'Landscape Trees '!I93</f>
        <v>0</v>
      </c>
    </row>
    <row r="264" spans="1:8" ht="12.75" x14ac:dyDescent="0.2">
      <c r="A264" s="51" t="str">
        <f ca="1">'Landscape Trees '!A94</f>
        <v>Ginkgo biloba 'Princeton Sentry'</v>
      </c>
      <c r="B264" s="51" t="str">
        <f ca="1">'Landscape Trees '!C94</f>
        <v>Princeton Sentry Ginkgo</v>
      </c>
      <c r="C264" s="51" t="str">
        <f ca="1">'Landscape Trees '!D94</f>
        <v>#7</v>
      </c>
      <c r="D264" s="51" t="str">
        <f ca="1">'Landscape Trees '!E94</f>
        <v>0.5-0.75"</v>
      </c>
      <c r="E264" s="51" t="str">
        <f ca="1">'Landscape Trees '!F94</f>
        <v>3-4'</v>
      </c>
      <c r="F264" s="75">
        <f ca="1">'Landscape Trees '!G94</f>
        <v>6</v>
      </c>
      <c r="G264" s="76">
        <f ca="1">'Landscape Trees '!H94</f>
        <v>70</v>
      </c>
      <c r="H264" s="51">
        <f>'Landscape Trees '!I94</f>
        <v>0</v>
      </c>
    </row>
    <row r="265" spans="1:8" ht="12.75" x14ac:dyDescent="0.2">
      <c r="A265" s="51" t="str">
        <f ca="1">'Landscape Trees '!A95</f>
        <v>Ginkgo biloba 'Princeton Sentry'</v>
      </c>
      <c r="B265" s="51" t="str">
        <f ca="1">'Landscape Trees '!C95</f>
        <v>Princeton Sentry Ginkgo</v>
      </c>
      <c r="C265" s="51" t="str">
        <f ca="1">'Landscape Trees '!D95</f>
        <v>#10</v>
      </c>
      <c r="D265" s="51" t="str">
        <f ca="1">'Landscape Trees '!E95</f>
        <v>0.75-1"</v>
      </c>
      <c r="E265" s="51" t="str">
        <f ca="1">'Landscape Trees '!F95</f>
        <v>5-7'</v>
      </c>
      <c r="F265" s="75">
        <f ca="1">'Landscape Trees '!G95</f>
        <v>3</v>
      </c>
      <c r="G265" s="76">
        <f ca="1">'Landscape Trees '!H95</f>
        <v>100</v>
      </c>
      <c r="H265" s="51">
        <f>'Landscape Trees '!I95</f>
        <v>0</v>
      </c>
    </row>
    <row r="266" spans="1:8" ht="12.75" x14ac:dyDescent="0.2">
      <c r="A266" s="51" t="str">
        <f ca="1">'Landscape Trees '!A96</f>
        <v>Ginkgo biloba 'Princeton Sentry'</v>
      </c>
      <c r="B266" s="51" t="str">
        <f ca="1">'Landscape Trees '!C96</f>
        <v xml:space="preserve">Princeton Sentry Ginkgo </v>
      </c>
      <c r="C266" s="51" t="str">
        <f ca="1">'Landscape Trees '!D96</f>
        <v>#15</v>
      </c>
      <c r="D266" s="51" t="str">
        <f ca="1">'Landscape Trees '!E96</f>
        <v>1-1.25"</v>
      </c>
      <c r="E266" s="51" t="str">
        <f ca="1">'Landscape Trees '!F96</f>
        <v>8-9'</v>
      </c>
      <c r="F266" s="75">
        <f ca="1">'Landscape Trees '!G96</f>
        <v>7</v>
      </c>
      <c r="G266" s="76">
        <f ca="1">'Landscape Trees '!H96</f>
        <v>135</v>
      </c>
      <c r="H266" s="51">
        <f>'Landscape Trees '!I96</f>
        <v>0</v>
      </c>
    </row>
    <row r="267" spans="1:8" ht="12.75" x14ac:dyDescent="0.2">
      <c r="A267" s="51" t="str">
        <f ca="1">'Landscape Trees '!A97</f>
        <v>Ginkgo biloba 'Windover Gold'</v>
      </c>
      <c r="B267" s="51" t="str">
        <f ca="1">'Landscape Trees '!C97</f>
        <v>Windover Gold Ginkgo</v>
      </c>
      <c r="C267" s="51" t="str">
        <f ca="1">'Landscape Trees '!D97</f>
        <v>#15</v>
      </c>
      <c r="D267" s="51" t="str">
        <f ca="1">'Landscape Trees '!E97</f>
        <v>1-1.25"</v>
      </c>
      <c r="E267" s="51" t="str">
        <f ca="1">'Landscape Trees '!F97</f>
        <v>6-9'</v>
      </c>
      <c r="F267" s="75">
        <f ca="1">'Landscape Trees '!G97</f>
        <v>4</v>
      </c>
      <c r="G267" s="76">
        <f ca="1">'Landscape Trees '!H97</f>
        <v>135</v>
      </c>
      <c r="H267" s="51">
        <f>'Landscape Trees '!I97</f>
        <v>0</v>
      </c>
    </row>
    <row r="268" spans="1:8" ht="12.75" x14ac:dyDescent="0.2">
      <c r="A268" s="51" t="str">
        <f ca="1">'Landscape Trees '!A98</f>
        <v>Gleditsia triacanthos 'Skyline'</v>
      </c>
      <c r="B268" s="51" t="str">
        <f ca="1">'Landscape Trees '!C98</f>
        <v>Skyline Honeylocust</v>
      </c>
      <c r="C268" s="51" t="str">
        <f ca="1">'Landscape Trees '!D98</f>
        <v>#10</v>
      </c>
      <c r="D268" s="51" t="str">
        <f ca="1">'Landscape Trees '!E98</f>
        <v>1.25-1.25"</v>
      </c>
      <c r="E268" s="51" t="str">
        <f ca="1">'Landscape Trees '!F98</f>
        <v>10-10'</v>
      </c>
      <c r="F268" s="75">
        <f ca="1">'Landscape Trees '!G98</f>
        <v>1</v>
      </c>
      <c r="G268" s="76">
        <f ca="1">'Landscape Trees '!H98</f>
        <v>100</v>
      </c>
      <c r="H268" s="51">
        <f>'Landscape Trees '!I98</f>
        <v>0</v>
      </c>
    </row>
    <row r="269" spans="1:8" ht="12.75" x14ac:dyDescent="0.2">
      <c r="A269" s="51" t="str">
        <f ca="1">'Landscape Trees '!A99</f>
        <v>Gleditsia triacanthos 'Skyline'</v>
      </c>
      <c r="B269" s="51" t="str">
        <f ca="1">'Landscape Trees '!C99</f>
        <v>Skyline Honeylocust</v>
      </c>
      <c r="C269" s="51" t="str">
        <f ca="1">'Landscape Trees '!D99</f>
        <v>#15</v>
      </c>
      <c r="D269" s="51" t="str">
        <f ca="1">'Landscape Trees '!E99</f>
        <v>1-1.5"</v>
      </c>
      <c r="E269" s="51" t="str">
        <f ca="1">'Landscape Trees '!F99</f>
        <v>10-14'</v>
      </c>
      <c r="F269" s="75">
        <f ca="1">'Landscape Trees '!G99</f>
        <v>25</v>
      </c>
      <c r="G269" s="76">
        <f ca="1">'Landscape Trees '!H99</f>
        <v>135</v>
      </c>
      <c r="H269" s="51">
        <f>'Landscape Trees '!I99</f>
        <v>0</v>
      </c>
    </row>
    <row r="270" spans="1:8" ht="12.75" x14ac:dyDescent="0.2">
      <c r="A270" s="51" t="str">
        <f ca="1">'Landscape Trees '!A100</f>
        <v>Gymnocladus dioicus</v>
      </c>
      <c r="B270" s="51" t="str">
        <f ca="1">'Landscape Trees '!C100</f>
        <v>Kentucky Coffeetree</v>
      </c>
      <c r="C270" s="51" t="str">
        <f ca="1">'Landscape Trees '!D100</f>
        <v>#5</v>
      </c>
      <c r="D270" s="51" t="str">
        <f ca="1">'Landscape Trees '!E100</f>
        <v>0.5-1.25"</v>
      </c>
      <c r="E270" s="51" t="str">
        <f ca="1">'Landscape Trees '!F100</f>
        <v>4-7'</v>
      </c>
      <c r="F270" s="75">
        <f ca="1">'Landscape Trees '!G100</f>
        <v>111</v>
      </c>
      <c r="G270" s="76">
        <f ca="1">'Landscape Trees '!H100</f>
        <v>40</v>
      </c>
      <c r="H270" s="51">
        <f>'Landscape Trees '!I100</f>
        <v>0</v>
      </c>
    </row>
    <row r="271" spans="1:8" ht="12.75" x14ac:dyDescent="0.2">
      <c r="A271" s="51" t="str">
        <f ca="1">'Landscape Trees '!A101</f>
        <v>Gymnocladus dioicus</v>
      </c>
      <c r="B271" s="51" t="str">
        <f ca="1">'Landscape Trees '!C101</f>
        <v>Kentucky Coffeetree</v>
      </c>
      <c r="C271" s="51" t="str">
        <f ca="1">'Landscape Trees '!D101</f>
        <v>#15</v>
      </c>
      <c r="D271" s="51" t="str">
        <f ca="1">'Landscape Trees '!E101</f>
        <v>1-1.5"</v>
      </c>
      <c r="E271" s="51" t="str">
        <f ca="1">'Landscape Trees '!F101</f>
        <v>9-12'</v>
      </c>
      <c r="F271" s="75">
        <f ca="1">'Landscape Trees '!G101</f>
        <v>27</v>
      </c>
      <c r="G271" s="76">
        <f ca="1">'Landscape Trees '!H101</f>
        <v>135</v>
      </c>
      <c r="H271" s="51">
        <f>'Landscape Trees '!I101</f>
        <v>0</v>
      </c>
    </row>
    <row r="272" spans="1:8" ht="12.75" x14ac:dyDescent="0.2">
      <c r="A272" s="51" t="str">
        <f ca="1">'Landscape Trees '!A102</f>
        <v>Gymnocladus dioicus</v>
      </c>
      <c r="B272" s="51" t="str">
        <f ca="1">'Landscape Trees '!C102</f>
        <v>Kentucky Coffeetree</v>
      </c>
      <c r="C272" s="51" t="str">
        <f ca="1">'Landscape Trees '!D102</f>
        <v>#25</v>
      </c>
      <c r="D272" s="51" t="str">
        <f ca="1">'Landscape Trees '!E102</f>
        <v>1.5-1.5"</v>
      </c>
      <c r="E272" s="51" t="str">
        <f ca="1">'Landscape Trees '!F102</f>
        <v>11-11'</v>
      </c>
      <c r="F272" s="75">
        <f ca="1">'Landscape Trees '!G102</f>
        <v>1</v>
      </c>
      <c r="G272" s="76">
        <f ca="1">'Landscape Trees '!H102</f>
        <v>150</v>
      </c>
      <c r="H272" s="51">
        <f>'Landscape Trees '!I102</f>
        <v>0</v>
      </c>
    </row>
    <row r="273" spans="1:8" ht="12.75" x14ac:dyDescent="0.2">
      <c r="A273" s="51" t="str">
        <f ca="1">'Landscape Trees '!A103</f>
        <v xml:space="preserve">Gymnocladus dioicus </v>
      </c>
      <c r="B273" s="51" t="str">
        <f ca="1">'Landscape Trees '!C103</f>
        <v xml:space="preserve">Kentucky Coffeetree (Cultivar) </v>
      </c>
      <c r="C273" s="51" t="str">
        <f ca="1">'Landscape Trees '!D103</f>
        <v>#15</v>
      </c>
      <c r="D273" s="51" t="str">
        <f ca="1">'Landscape Trees '!E103</f>
        <v>1.25-1.25"</v>
      </c>
      <c r="E273" s="51" t="str">
        <f ca="1">'Landscape Trees '!F103</f>
        <v>11-14'</v>
      </c>
      <c r="F273" s="75">
        <f ca="1">'Landscape Trees '!G103</f>
        <v>3</v>
      </c>
      <c r="G273" s="76">
        <f ca="1">'Landscape Trees '!H103</f>
        <v>135</v>
      </c>
      <c r="H273" s="51">
        <f>'Landscape Trees '!I103</f>
        <v>0</v>
      </c>
    </row>
    <row r="274" spans="1:8" ht="12.75" x14ac:dyDescent="0.2">
      <c r="A274" s="51" t="str">
        <f ca="1">'Landscape Trees '!A104</f>
        <v xml:space="preserve">Gymnocladus dioicus </v>
      </c>
      <c r="B274" s="51" t="str">
        <f ca="1">'Landscape Trees '!C104</f>
        <v xml:space="preserve">Kentucky Coffeetree (Cultivar) </v>
      </c>
      <c r="C274" s="51" t="str">
        <f ca="1">'Landscape Trees '!D104</f>
        <v>#25</v>
      </c>
      <c r="D274" s="51" t="str">
        <f ca="1">'Landscape Trees '!E104</f>
        <v>1.25-1.5"</v>
      </c>
      <c r="E274" s="51" t="str">
        <f ca="1">'Landscape Trees '!F104</f>
        <v>11-14'</v>
      </c>
      <c r="F274" s="75">
        <f ca="1">'Landscape Trees '!G104</f>
        <v>4</v>
      </c>
      <c r="G274" s="76">
        <f ca="1">'Landscape Trees '!H104</f>
        <v>150</v>
      </c>
      <c r="H274" s="51">
        <f>'Landscape Trees '!I104</f>
        <v>0</v>
      </c>
    </row>
    <row r="275" spans="1:8" ht="12.75" x14ac:dyDescent="0.2">
      <c r="A275" s="51" t="str">
        <f ca="1">'Landscape Trees '!A105</f>
        <v>Hamamelis virginiana</v>
      </c>
      <c r="B275" s="51" t="str">
        <f ca="1">'Landscape Trees '!C105</f>
        <v>Witch Hazel</v>
      </c>
      <c r="C275" s="51" t="str">
        <f ca="1">'Landscape Trees '!D105</f>
        <v>#5</v>
      </c>
      <c r="D275" s="51" t="str">
        <f ca="1">'Landscape Trees '!E105</f>
        <v>0.25-0.25"</v>
      </c>
      <c r="E275" s="51" t="str">
        <f ca="1">'Landscape Trees '!F105</f>
        <v>2-4'</v>
      </c>
      <c r="F275" s="75">
        <f ca="1">'Landscape Trees '!G105</f>
        <v>56</v>
      </c>
      <c r="G275" s="76">
        <f ca="1">'Landscape Trees '!H105</f>
        <v>50</v>
      </c>
      <c r="H275" s="51">
        <f>'Landscape Trees '!I105</f>
        <v>0</v>
      </c>
    </row>
    <row r="276" spans="1:8" ht="12.75" x14ac:dyDescent="0.2">
      <c r="A276" s="51" t="str">
        <f ca="1">'Landscape Trees '!A106</f>
        <v>Hydrangea que. 'Ruby slippers'</v>
      </c>
      <c r="B276" s="51" t="str">
        <f ca="1">'Landscape Trees '!C106</f>
        <v>Ruby Slippers Oakleaf Hydrangea</v>
      </c>
      <c r="C276" s="51" t="str">
        <f ca="1">'Landscape Trees '!D106</f>
        <v>#5</v>
      </c>
      <c r="D276" s="51" t="str">
        <f ca="1">'Landscape Trees '!E106</f>
        <v>Multi</v>
      </c>
      <c r="E276" s="51" t="str">
        <f ca="1">'Landscape Trees '!F106</f>
        <v>2-2.5'</v>
      </c>
      <c r="F276" s="75">
        <f ca="1">'Landscape Trees '!G106</f>
        <v>20</v>
      </c>
      <c r="G276" s="76">
        <f ca="1">'Landscape Trees '!H106</f>
        <v>37</v>
      </c>
      <c r="H276" s="51">
        <f>'Landscape Trees '!I106</f>
        <v>0</v>
      </c>
    </row>
    <row r="277" spans="1:8" ht="12.75" x14ac:dyDescent="0.2">
      <c r="A277" s="51" t="str">
        <f ca="1">'Landscape Trees '!A107</f>
        <v>Hydrangea que. 'Snow Queen'</v>
      </c>
      <c r="B277" s="51" t="str">
        <f ca="1">'Landscape Trees '!C107</f>
        <v>Snow Queen Oakleaf Hydrangea</v>
      </c>
      <c r="C277" s="51" t="str">
        <f ca="1">'Landscape Trees '!D107</f>
        <v>#5</v>
      </c>
      <c r="D277" s="51" t="str">
        <f ca="1">'Landscape Trees '!E107</f>
        <v>Multi</v>
      </c>
      <c r="E277" s="51" t="str">
        <f ca="1">'Landscape Trees '!F107</f>
        <v>3-4'</v>
      </c>
      <c r="F277" s="75">
        <f ca="1">'Landscape Trees '!G107</f>
        <v>49</v>
      </c>
      <c r="G277" s="76">
        <f ca="1">'Landscape Trees '!H107</f>
        <v>37</v>
      </c>
      <c r="H277" s="51">
        <f>'Landscape Trees '!I107</f>
        <v>0</v>
      </c>
    </row>
    <row r="278" spans="1:8" ht="12.75" x14ac:dyDescent="0.2">
      <c r="A278" s="51" t="str">
        <f ca="1">'Landscape Trees '!A108</f>
        <v>Ilex glabra</v>
      </c>
      <c r="B278" s="51" t="str">
        <f ca="1">'Landscape Trees '!C108</f>
        <v>Inkberry</v>
      </c>
      <c r="C278" s="51" t="str">
        <f ca="1">'Landscape Trees '!D108</f>
        <v>#5</v>
      </c>
      <c r="D278" s="51" t="str">
        <f ca="1">'Landscape Trees '!E108</f>
        <v>Multi</v>
      </c>
      <c r="E278" s="51" t="str">
        <f ca="1">'Landscape Trees '!F108</f>
        <v>1-2.5'</v>
      </c>
      <c r="F278" s="75">
        <f ca="1">'Landscape Trees '!G108</f>
        <v>16</v>
      </c>
      <c r="G278" s="76">
        <f ca="1">'Landscape Trees '!H108</f>
        <v>37</v>
      </c>
      <c r="H278" s="51">
        <f>'Landscape Trees '!I108</f>
        <v>0</v>
      </c>
    </row>
    <row r="279" spans="1:8" ht="12.75" x14ac:dyDescent="0.2">
      <c r="A279" s="51" t="str">
        <f ca="1">'Landscape Trees '!A109</f>
        <v>Ilex glabra 'Shamrock'</v>
      </c>
      <c r="B279" s="51" t="str">
        <f ca="1">'Landscape Trees '!C109</f>
        <v>Shamrock Holly</v>
      </c>
      <c r="C279" s="51" t="str">
        <f ca="1">'Landscape Trees '!D109</f>
        <v>#5</v>
      </c>
      <c r="D279" s="51" t="str">
        <f ca="1">'Landscape Trees '!E109</f>
        <v>Multi</v>
      </c>
      <c r="E279" s="51" t="str">
        <f ca="1">'Landscape Trees '!F109</f>
        <v>1.5-1.5'</v>
      </c>
      <c r="F279" s="75">
        <f ca="1">'Landscape Trees '!G109</f>
        <v>1</v>
      </c>
      <c r="G279" s="76">
        <f ca="1">'Landscape Trees '!H109</f>
        <v>37</v>
      </c>
      <c r="H279" s="51">
        <f>'Landscape Trees '!I109</f>
        <v>0</v>
      </c>
    </row>
    <row r="280" spans="1:8" ht="12.75" x14ac:dyDescent="0.2">
      <c r="A280" s="51" t="str">
        <f ca="1">'Landscape Trees '!A110</f>
        <v>Laburnum anagyroides</v>
      </c>
      <c r="B280" s="51" t="str">
        <f ca="1">'Landscape Trees '!C110</f>
        <v>Golden Chain Tree</v>
      </c>
      <c r="C280" s="51" t="str">
        <f ca="1">'Landscape Trees '!D110</f>
        <v>#5</v>
      </c>
      <c r="D280" s="51" t="str">
        <f ca="1">'Landscape Trees '!E110</f>
        <v>Multi</v>
      </c>
      <c r="E280" s="51" t="str">
        <f ca="1">'Landscape Trees '!F110</f>
        <v>6-6'</v>
      </c>
      <c r="F280" s="75">
        <f ca="1">'Landscape Trees '!G110</f>
        <v>1</v>
      </c>
      <c r="G280" s="76">
        <f ca="1">'Landscape Trees '!H110</f>
        <v>50</v>
      </c>
      <c r="H280" s="51">
        <f>'Landscape Trees '!I110</f>
        <v>0</v>
      </c>
    </row>
    <row r="281" spans="1:8" ht="12.75" x14ac:dyDescent="0.2">
      <c r="A281" s="51" t="str">
        <f ca="1">'Landscape Trees '!A111</f>
        <v>Liquidambar styraciflua</v>
      </c>
      <c r="B281" s="51" t="str">
        <f ca="1">'Landscape Trees '!C111</f>
        <v>Sweet Gum</v>
      </c>
      <c r="C281" s="51" t="str">
        <f ca="1">'Landscape Trees '!D111</f>
        <v>#5</v>
      </c>
      <c r="D281" s="51" t="str">
        <f ca="1">'Landscape Trees '!E111</f>
        <v>0.5-1"</v>
      </c>
      <c r="E281" s="51" t="str">
        <f ca="1">'Landscape Trees '!F111</f>
        <v>4-7'</v>
      </c>
      <c r="F281" s="75">
        <f ca="1">'Landscape Trees '!G111</f>
        <v>100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Liquidambar styraciflua 'Hapdell' Happidaze</v>
      </c>
      <c r="B282" s="51" t="str">
        <f ca="1">'Landscape Trees '!C112</f>
        <v>Happidaze Sweetgum</v>
      </c>
      <c r="C282" s="51" t="str">
        <f ca="1">'Landscape Trees '!D112</f>
        <v>#10</v>
      </c>
      <c r="D282" s="51" t="str">
        <f ca="1">'Landscape Trees '!E112</f>
        <v>0.75-1.25"</v>
      </c>
      <c r="E282" s="51" t="str">
        <f ca="1">'Landscape Trees '!F112</f>
        <v>5-7'</v>
      </c>
      <c r="F282" s="75">
        <f ca="1">'Landscape Trees '!G112</f>
        <v>6</v>
      </c>
      <c r="G282" s="76">
        <f ca="1">'Landscape Trees '!H112</f>
        <v>100</v>
      </c>
      <c r="H282" s="51">
        <f>'Landscape Trees '!I112</f>
        <v>0</v>
      </c>
    </row>
    <row r="283" spans="1:8" ht="12.75" x14ac:dyDescent="0.2">
      <c r="A283" s="51" t="str">
        <f ca="1">'Landscape Trees '!A113</f>
        <v>Liquidambar styraciflua 'Silver King'</v>
      </c>
      <c r="B283" s="51" t="str">
        <f ca="1">'Landscape Trees '!C113</f>
        <v>Silver King Sweet Gum</v>
      </c>
      <c r="C283" s="51" t="str">
        <f ca="1">'Landscape Trees '!D113</f>
        <v>#10</v>
      </c>
      <c r="D283" s="51" t="str">
        <f ca="1">'Landscape Trees '!E113</f>
        <v>1-1.25"</v>
      </c>
      <c r="E283" s="51" t="str">
        <f ca="1">'Landscape Trees '!F113</f>
        <v>6-7'</v>
      </c>
      <c r="F283" s="75">
        <f ca="1">'Landscape Trees '!G113</f>
        <v>9</v>
      </c>
      <c r="G283" s="76">
        <f ca="1">'Landscape Trees '!H113</f>
        <v>100</v>
      </c>
      <c r="H283" s="51">
        <f>'Landscape Trees '!I113</f>
        <v>0</v>
      </c>
    </row>
    <row r="284" spans="1:8" ht="12.75" x14ac:dyDescent="0.2">
      <c r="A284" s="51" t="str">
        <f ca="1">'Landscape Trees '!A114</f>
        <v>Liquidambar styraciflua 'Worplesdon'</v>
      </c>
      <c r="B284" s="51" t="str">
        <f ca="1">'Landscape Trees '!C114</f>
        <v>Worplesdon Sweetgum</v>
      </c>
      <c r="C284" s="51" t="str">
        <f ca="1">'Landscape Trees '!D114</f>
        <v>#15</v>
      </c>
      <c r="D284" s="51" t="str">
        <f ca="1">'Landscape Trees '!E114</f>
        <v>1.25-1.25"</v>
      </c>
      <c r="E284" s="51" t="str">
        <f ca="1">'Landscape Trees '!F114</f>
        <v>8-8.5'</v>
      </c>
      <c r="F284" s="75">
        <f ca="1">'Landscape Trees '!G114</f>
        <v>2</v>
      </c>
      <c r="G284" s="76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>Liriodendron tulipifera</v>
      </c>
      <c r="B285" s="51" t="str">
        <f ca="1">'Landscape Trees '!C115</f>
        <v>Tulip Poplar</v>
      </c>
      <c r="C285" s="51" t="str">
        <f ca="1">'Landscape Trees '!D115</f>
        <v>#5</v>
      </c>
      <c r="D285" s="51" t="str">
        <f ca="1">'Landscape Trees '!E115</f>
        <v>0.5-1"</v>
      </c>
      <c r="E285" s="51" t="str">
        <f ca="1">'Landscape Trees '!F115</f>
        <v>4-9'</v>
      </c>
      <c r="F285" s="75">
        <f ca="1">'Landscape Trees '!G115</f>
        <v>104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Magnolia 'Galaxy'</v>
      </c>
      <c r="B286" s="51" t="str">
        <f ca="1">'Landscape Trees '!C116</f>
        <v>Galaxy Magnolia</v>
      </c>
      <c r="C286" s="51" t="str">
        <f ca="1">'Landscape Trees '!D116</f>
        <v>#5</v>
      </c>
      <c r="D286" s="51" t="str">
        <f ca="1">'Landscape Trees '!E116</f>
        <v>0.5-0.75"</v>
      </c>
      <c r="E286" s="51" t="str">
        <f ca="1">'Landscape Trees '!F116</f>
        <v>4-5'</v>
      </c>
      <c r="F286" s="75">
        <f ca="1">'Landscape Trees '!G116</f>
        <v>12</v>
      </c>
      <c r="G286" s="76">
        <f ca="1">'Landscape Trees '!H116</f>
        <v>70</v>
      </c>
      <c r="H286" s="51">
        <f>'Landscape Trees '!I116</f>
        <v>0</v>
      </c>
    </row>
    <row r="287" spans="1:8" ht="12.75" x14ac:dyDescent="0.2">
      <c r="A287" s="51" t="str">
        <f ca="1">'Landscape Trees '!A117</f>
        <v>Magnolia ashei</v>
      </c>
      <c r="B287" s="51" t="str">
        <f ca="1">'Landscape Trees '!C117</f>
        <v>Ashe's Magnolia</v>
      </c>
      <c r="C287" s="51" t="str">
        <f ca="1">'Landscape Trees '!D117</f>
        <v>#5</v>
      </c>
      <c r="D287" s="51" t="str">
        <f ca="1">'Landscape Trees '!E117</f>
        <v>0.5-0.5"</v>
      </c>
      <c r="E287" s="51" t="str">
        <f ca="1">'Landscape Trees '!F117</f>
        <v>2-5'</v>
      </c>
      <c r="F287" s="75">
        <f ca="1">'Landscape Trees '!G117</f>
        <v>21</v>
      </c>
      <c r="G287" s="76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Magnolia macrophylla</v>
      </c>
      <c r="B288" s="51" t="str">
        <f ca="1">'Landscape Trees '!C118</f>
        <v>Bigleaf Magnolia</v>
      </c>
      <c r="C288" s="51" t="str">
        <f ca="1">'Landscape Trees '!D118</f>
        <v>#5</v>
      </c>
      <c r="D288" s="51" t="str">
        <f ca="1">'Landscape Trees '!E118</f>
        <v>0.25-0.5"</v>
      </c>
      <c r="E288" s="51" t="str">
        <f ca="1">'Landscape Trees '!F118</f>
        <v>2-4'</v>
      </c>
      <c r="F288" s="75">
        <f ca="1">'Landscape Trees '!G118</f>
        <v>26</v>
      </c>
      <c r="G288" s="76">
        <f ca="1">'Landscape Trees '!H118</f>
        <v>70</v>
      </c>
      <c r="H288" s="51">
        <f>'Landscape Trees '!I118</f>
        <v>0</v>
      </c>
    </row>
    <row r="289" spans="1:8" ht="12.75" x14ac:dyDescent="0.2">
      <c r="A289" s="51" t="str">
        <f ca="1">'Landscape Trees '!A119</f>
        <v>Magnolia virginiana</v>
      </c>
      <c r="B289" s="51" t="str">
        <f ca="1">'Landscape Trees '!C119</f>
        <v>Sweet Bay Magnolia</v>
      </c>
      <c r="C289" s="51" t="str">
        <f ca="1">'Landscape Trees '!D119</f>
        <v>#5</v>
      </c>
      <c r="D289" s="51" t="str">
        <f ca="1">'Landscape Trees '!E119</f>
        <v>0.5-1"</v>
      </c>
      <c r="E289" s="51" t="str">
        <f ca="1">'Landscape Trees '!F119</f>
        <v>4-6'</v>
      </c>
      <c r="F289" s="75">
        <f ca="1">'Landscape Trees '!G119</f>
        <v>102</v>
      </c>
      <c r="G289" s="76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Magnolia virginiana 'Moonglow'</v>
      </c>
      <c r="B290" s="51" t="str">
        <f ca="1">'Landscape Trees '!C120</f>
        <v>Moonglow Magnolia</v>
      </c>
      <c r="C290" s="51" t="str">
        <f ca="1">'Landscape Trees '!D120</f>
        <v>#5</v>
      </c>
      <c r="D290" s="51" t="str">
        <f ca="1">'Landscape Trees '!E120</f>
        <v>0.5-0.75"</v>
      </c>
      <c r="E290" s="51" t="str">
        <f ca="1">'Landscape Trees '!F120</f>
        <v>3-6'</v>
      </c>
      <c r="F290" s="75">
        <f ca="1">'Landscape Trees '!G120</f>
        <v>17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Magnolia x 'Ann'</v>
      </c>
      <c r="B291" s="51" t="str">
        <f ca="1">'Landscape Trees '!C121</f>
        <v>Ann Magnolia</v>
      </c>
      <c r="C291" s="51" t="str">
        <f ca="1">'Landscape Trees '!D121</f>
        <v>#5</v>
      </c>
      <c r="D291" s="51" t="str">
        <f ca="1">'Landscape Trees '!E121</f>
        <v>Multi</v>
      </c>
      <c r="E291" s="51" t="str">
        <f ca="1">'Landscape Trees '!F121</f>
        <v>4-5'</v>
      </c>
      <c r="F291" s="75">
        <f ca="1">'Landscape Trees '!G121</f>
        <v>6</v>
      </c>
      <c r="G291" s="76">
        <f ca="1">'Landscape Trees '!H121</f>
        <v>70</v>
      </c>
      <c r="H291" s="51">
        <f>'Landscape Trees '!I121</f>
        <v>0</v>
      </c>
    </row>
    <row r="292" spans="1:8" ht="12.75" x14ac:dyDescent="0.2">
      <c r="A292" s="51" t="str">
        <f ca="1">'Landscape Trees '!A122</f>
        <v>Magnolia x 'Jane'</v>
      </c>
      <c r="B292" s="51" t="str">
        <f ca="1">'Landscape Trees '!C122</f>
        <v>Jane Magnolia</v>
      </c>
      <c r="C292" s="51" t="str">
        <f ca="1">'Landscape Trees '!D122</f>
        <v>#5</v>
      </c>
      <c r="D292" s="51" t="str">
        <f ca="1">'Landscape Trees '!E122</f>
        <v>0.5-0.75"</v>
      </c>
      <c r="E292" s="51" t="str">
        <f ca="1">'Landscape Trees '!F122</f>
        <v>4-5'</v>
      </c>
      <c r="F292" s="75">
        <f ca="1">'Landscape Trees '!G122</f>
        <v>11</v>
      </c>
      <c r="G292" s="76">
        <f ca="1">'Landscape Trees '!H122</f>
        <v>70</v>
      </c>
      <c r="H292" s="51">
        <f>'Landscape Trees '!I122</f>
        <v>0</v>
      </c>
    </row>
    <row r="293" spans="1:8" ht="12.75" x14ac:dyDescent="0.2">
      <c r="A293" s="51" t="str">
        <f ca="1">'Landscape Trees '!A123</f>
        <v>Malus 'Prairifire'</v>
      </c>
      <c r="B293" s="51" t="str">
        <f ca="1">'Landscape Trees '!C123</f>
        <v>Prairifire Crabapple</v>
      </c>
      <c r="C293" s="51" t="str">
        <f ca="1">'Landscape Trees '!D123</f>
        <v>#5</v>
      </c>
      <c r="D293" s="51" t="str">
        <f ca="1">'Landscape Trees '!E123</f>
        <v>0.75-1"</v>
      </c>
      <c r="E293" s="51" t="str">
        <f ca="1">'Landscape Trees '!F123</f>
        <v>6-7'</v>
      </c>
      <c r="F293" s="75">
        <f ca="1">'Landscape Trees '!G123</f>
        <v>12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Malus 'Prairifire'</v>
      </c>
      <c r="B294" s="51" t="str">
        <f ca="1">'Landscape Trees '!C124</f>
        <v>Prairifire Crabapple</v>
      </c>
      <c r="C294" s="51" t="str">
        <f ca="1">'Landscape Trees '!D124</f>
        <v>#15</v>
      </c>
      <c r="D294" s="51" t="str">
        <f ca="1">'Landscape Trees '!E124</f>
        <v>1-1.25"</v>
      </c>
      <c r="E294" s="51" t="str">
        <f ca="1">'Landscape Trees '!F124</f>
        <v>8-9'</v>
      </c>
      <c r="F294" s="75">
        <f ca="1">'Landscape Trees '!G124</f>
        <v>3</v>
      </c>
      <c r="G294" s="76">
        <f ca="1">'Landscape Trees '!H124</f>
        <v>135</v>
      </c>
      <c r="H294" s="51">
        <f>'Landscape Trees '!I124</f>
        <v>0</v>
      </c>
    </row>
    <row r="295" spans="1:8" ht="12.75" x14ac:dyDescent="0.2">
      <c r="A295" s="51" t="str">
        <f ca="1">'Landscape Trees '!A125</f>
        <v>Malus 'Sugar Tyme'</v>
      </c>
      <c r="B295" s="51" t="str">
        <f ca="1">'Landscape Trees '!C125</f>
        <v>Sugar Tyme Crabapple</v>
      </c>
      <c r="C295" s="51" t="str">
        <f ca="1">'Landscape Trees '!D125</f>
        <v>#15</v>
      </c>
      <c r="D295" s="51" t="str">
        <f ca="1">'Landscape Trees '!E125</f>
        <v>1-1.25"</v>
      </c>
      <c r="E295" s="51" t="str">
        <f ca="1">'Landscape Trees '!F125</f>
        <v>8-10'</v>
      </c>
      <c r="F295" s="75">
        <f ca="1">'Landscape Trees '!G125</f>
        <v>16</v>
      </c>
      <c r="G295" s="76">
        <f ca="1">'Landscape Trees '!H125</f>
        <v>135</v>
      </c>
      <c r="H295" s="51">
        <f>'Landscape Trees '!I125</f>
        <v>0</v>
      </c>
    </row>
    <row r="296" spans="1:8" ht="12.75" x14ac:dyDescent="0.2">
      <c r="A296" s="51" t="str">
        <f ca="1">'Landscape Trees '!A126</f>
        <v>Malus dolgo</v>
      </c>
      <c r="B296" s="51" t="str">
        <f ca="1">'Landscape Trees '!C126</f>
        <v>Dolgo Crabapple</v>
      </c>
      <c r="C296" s="51" t="str">
        <f ca="1">'Landscape Trees '!D126</f>
        <v>#5</v>
      </c>
      <c r="D296" s="51" t="str">
        <f ca="1">'Landscape Trees '!E126</f>
        <v>0.5-0.75"</v>
      </c>
      <c r="E296" s="51" t="str">
        <f ca="1">'Landscape Trees '!F126</f>
        <v>4-7'</v>
      </c>
      <c r="F296" s="75">
        <f ca="1">'Landscape Trees '!G126</f>
        <v>29</v>
      </c>
      <c r="G296" s="76">
        <f ca="1">'Landscape Trees '!H126</f>
        <v>50</v>
      </c>
      <c r="H296" s="51">
        <f>'Landscape Trees '!I126</f>
        <v>0</v>
      </c>
    </row>
    <row r="297" spans="1:8" ht="12.75" x14ac:dyDescent="0.2">
      <c r="A297" s="51" t="str">
        <f ca="1">'Landscape Trees '!A127</f>
        <v>Metasequoia glyptostroboides</v>
      </c>
      <c r="B297" s="51" t="str">
        <f ca="1">'Landscape Trees '!C127</f>
        <v>Dawn Redwood</v>
      </c>
      <c r="C297" s="51" t="str">
        <f ca="1">'Landscape Trees '!D127</f>
        <v>#5</v>
      </c>
      <c r="D297" s="51" t="str">
        <f ca="1">'Landscape Trees '!E127</f>
        <v>1-1.75"</v>
      </c>
      <c r="E297" s="51" t="str">
        <f ca="1">'Landscape Trees '!F127</f>
        <v>5-10'</v>
      </c>
      <c r="F297" s="75">
        <f ca="1">'Landscape Trees '!G127</f>
        <v>215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Metasequoia glyptostroboides</v>
      </c>
      <c r="B298" s="51" t="str">
        <f ca="1">'Landscape Trees '!C128</f>
        <v>Dawn Redwood</v>
      </c>
      <c r="C298" s="51" t="str">
        <f ca="1">'Landscape Trees '!D128</f>
        <v>#25</v>
      </c>
      <c r="D298" s="51" t="str">
        <f ca="1">'Landscape Trees '!E128</f>
        <v>1-1.5"</v>
      </c>
      <c r="E298" s="51" t="str">
        <f ca="1">'Landscape Trees '!F128</f>
        <v>7-9'</v>
      </c>
      <c r="F298" s="75">
        <f ca="1">'Landscape Trees '!G128</f>
        <v>10</v>
      </c>
      <c r="G298" s="76">
        <f ca="1">'Landscape Trees '!H128</f>
        <v>150</v>
      </c>
      <c r="H298" s="51">
        <f>'Landscape Trees '!I128</f>
        <v>0</v>
      </c>
    </row>
    <row r="299" spans="1:8" ht="12.75" x14ac:dyDescent="0.2">
      <c r="A299" s="51" t="str">
        <f ca="1">'Landscape Trees '!A129</f>
        <v>Myrica pennsylvanica</v>
      </c>
      <c r="B299" s="51" t="str">
        <f ca="1">'Landscape Trees '!C129</f>
        <v>Bayberry</v>
      </c>
      <c r="C299" s="51" t="str">
        <f ca="1">'Landscape Trees '!D129</f>
        <v>#5</v>
      </c>
      <c r="D299" s="51" t="str">
        <f ca="1">'Landscape Trees '!E129</f>
        <v>Multi</v>
      </c>
      <c r="E299" s="51" t="str">
        <f ca="1">'Landscape Trees '!F129</f>
        <v>2-3'</v>
      </c>
      <c r="F299" s="75">
        <f ca="1">'Landscape Trees '!G129</f>
        <v>105</v>
      </c>
      <c r="G299" s="76">
        <f ca="1">'Landscape Trees '!H129</f>
        <v>37</v>
      </c>
      <c r="H299" s="51">
        <f>'Landscape Trees '!I129</f>
        <v>0</v>
      </c>
    </row>
    <row r="300" spans="1:8" ht="12.75" x14ac:dyDescent="0.2">
      <c r="A300" s="51" t="str">
        <f ca="1">'Landscape Trees '!A130</f>
        <v>Nyssa sylvatica</v>
      </c>
      <c r="B300" s="51" t="str">
        <f ca="1">'Landscape Trees '!C130</f>
        <v>Black Gum</v>
      </c>
      <c r="C300" s="51" t="str">
        <f ca="1">'Landscape Trees '!D130</f>
        <v>#5</v>
      </c>
      <c r="D300" s="51" t="str">
        <f ca="1">'Landscape Trees '!E130</f>
        <v>0.25-1"</v>
      </c>
      <c r="E300" s="51" t="str">
        <f ca="1">'Landscape Trees '!F130</f>
        <v>3.5-5'</v>
      </c>
      <c r="F300" s="75">
        <f ca="1">'Landscape Trees '!G130</f>
        <v>206</v>
      </c>
      <c r="G300" s="76">
        <f ca="1">'Landscape Trees '!H130</f>
        <v>50</v>
      </c>
      <c r="H300" s="51">
        <f>'Landscape Trees '!I130</f>
        <v>0</v>
      </c>
    </row>
    <row r="301" spans="1:8" ht="12.75" x14ac:dyDescent="0.2">
      <c r="A301" s="51" t="str">
        <f ca="1">'Landscape Trees '!A131</f>
        <v>Nyssa sylvatica 'Green Gable'</v>
      </c>
      <c r="B301" s="51" t="str">
        <f ca="1">'Landscape Trees '!C131</f>
        <v>Green Gable Black Gum</v>
      </c>
      <c r="C301" s="51" t="str">
        <f ca="1">'Landscape Trees '!D131</f>
        <v>#5</v>
      </c>
      <c r="D301" s="51" t="str">
        <f ca="1">'Landscape Trees '!E131</f>
        <v>0.75-1"</v>
      </c>
      <c r="E301" s="51" t="str">
        <f ca="1">'Landscape Trees '!F131</f>
        <v>6.5-7.5'</v>
      </c>
      <c r="F301" s="75">
        <f ca="1">'Landscape Trees '!G131</f>
        <v>8</v>
      </c>
      <c r="G301" s="76">
        <f ca="1">'Landscape Trees '!H131</f>
        <v>70</v>
      </c>
      <c r="H301" s="51">
        <f>'Landscape Trees '!I131</f>
        <v>0</v>
      </c>
    </row>
    <row r="302" spans="1:8" ht="12.75" x14ac:dyDescent="0.2">
      <c r="A302" s="51" t="str">
        <f ca="1">'Landscape Trees '!A132</f>
        <v>Nyssa sylvatica 'Wildfire'</v>
      </c>
      <c r="B302" s="51" t="str">
        <f ca="1">'Landscape Trees '!C132</f>
        <v>Wildfire Black Gum</v>
      </c>
      <c r="C302" s="51" t="str">
        <f ca="1">'Landscape Trees '!D132</f>
        <v>#5</v>
      </c>
      <c r="D302" s="51" t="str">
        <f ca="1">'Landscape Trees '!E132</f>
        <v>0.75-0.75"</v>
      </c>
      <c r="E302" s="51" t="str">
        <f ca="1">'Landscape Trees '!F132</f>
        <v>5-6'</v>
      </c>
      <c r="F302" s="75">
        <f ca="1">'Landscape Trees '!G132</f>
        <v>1</v>
      </c>
      <c r="G302" s="76">
        <f ca="1">'Landscape Trees '!H132</f>
        <v>70</v>
      </c>
      <c r="H302" s="51">
        <f>'Landscape Trees '!I132</f>
        <v>0</v>
      </c>
    </row>
    <row r="303" spans="1:8" ht="12.75" x14ac:dyDescent="0.2">
      <c r="A303" s="51" t="str">
        <f ca="1">'Landscape Trees '!A133</f>
        <v>Ostrya virginiana</v>
      </c>
      <c r="B303" s="51" t="str">
        <f ca="1">'Landscape Trees '!C133</f>
        <v>American Hophornbeam</v>
      </c>
      <c r="C303" s="51" t="str">
        <f ca="1">'Landscape Trees '!D133</f>
        <v>#5</v>
      </c>
      <c r="D303" s="51" t="str">
        <f ca="1">'Landscape Trees '!E133</f>
        <v>0.75-1.25"</v>
      </c>
      <c r="E303" s="51" t="str">
        <f ca="1">'Landscape Trees '!F133</f>
        <v>6-12'</v>
      </c>
      <c r="F303" s="75">
        <f ca="1">'Landscape Trees '!G133</f>
        <v>99</v>
      </c>
      <c r="G303" s="76">
        <f ca="1">'Landscape Trees '!H133</f>
        <v>50</v>
      </c>
      <c r="H303" s="51">
        <f>'Landscape Trees '!I133</f>
        <v>0</v>
      </c>
    </row>
    <row r="304" spans="1:8" ht="12.75" x14ac:dyDescent="0.2">
      <c r="A304" s="51" t="str">
        <f ca="1">'Landscape Trees '!A134</f>
        <v>Oxydendrum arboreum</v>
      </c>
      <c r="B304" s="51" t="str">
        <f ca="1">'Landscape Trees '!C134</f>
        <v>Sourwood</v>
      </c>
      <c r="C304" s="51" t="str">
        <f ca="1">'Landscape Trees '!D134</f>
        <v>#5</v>
      </c>
      <c r="D304" s="51" t="str">
        <f ca="1">'Landscape Trees '!E134</f>
        <v>Multi</v>
      </c>
      <c r="E304" s="51" t="str">
        <f ca="1">'Landscape Trees '!F134</f>
        <v>2-6.5'</v>
      </c>
      <c r="F304" s="75">
        <f ca="1">'Landscape Trees '!G134</f>
        <v>201</v>
      </c>
      <c r="G304" s="76">
        <f ca="1">'Landscape Trees '!H134</f>
        <v>50</v>
      </c>
      <c r="H304" s="51">
        <f>'Landscape Trees '!I134</f>
        <v>0</v>
      </c>
    </row>
    <row r="305" spans="1:8" ht="12.75" x14ac:dyDescent="0.2">
      <c r="A305" s="51" t="str">
        <f ca="1">'Landscape Trees '!A135</f>
        <v>Parrotia persica</v>
      </c>
      <c r="B305" s="51" t="str">
        <f ca="1">'Landscape Trees '!C135</f>
        <v>Persian Parrotia</v>
      </c>
      <c r="C305" s="51" t="str">
        <f ca="1">'Landscape Trees '!D135</f>
        <v>#5</v>
      </c>
      <c r="D305" s="51" t="str">
        <f ca="1">'Landscape Trees '!E135</f>
        <v>Multi</v>
      </c>
      <c r="E305" s="51" t="str">
        <f ca="1">'Landscape Trees '!F135</f>
        <v>3-6.5'</v>
      </c>
      <c r="F305" s="75">
        <f ca="1">'Landscape Trees '!G135</f>
        <v>48</v>
      </c>
      <c r="G305" s="76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Picea abies</v>
      </c>
      <c r="B306" s="51" t="str">
        <f ca="1">'Landscape Trees '!C136</f>
        <v>Norway Spruce</v>
      </c>
      <c r="C306" s="51" t="str">
        <f ca="1">'Landscape Trees '!D136</f>
        <v>#5</v>
      </c>
      <c r="D306" s="51" t="str">
        <f ca="1">'Landscape Trees '!E136</f>
        <v>0.75-1.25"</v>
      </c>
      <c r="E306" s="51" t="str">
        <f ca="1">'Landscape Trees '!F136</f>
        <v>3-4'</v>
      </c>
      <c r="F306" s="75">
        <f ca="1">'Landscape Trees '!G136</f>
        <v>108</v>
      </c>
      <c r="G306" s="76">
        <f ca="1">'Landscape Trees '!H136</f>
        <v>50</v>
      </c>
      <c r="H306" s="51">
        <f>'Landscape Trees '!I136</f>
        <v>0</v>
      </c>
    </row>
    <row r="307" spans="1:8" ht="12.75" x14ac:dyDescent="0.2">
      <c r="A307" s="51" t="str">
        <f ca="1">'Landscape Trees '!A137</f>
        <v xml:space="preserve">Pinus virginiana </v>
      </c>
      <c r="B307" s="51" t="str">
        <f ca="1">'Landscape Trees '!C137</f>
        <v>Virginia Pine</v>
      </c>
      <c r="C307" s="51" t="str">
        <f ca="1">'Landscape Trees '!D137</f>
        <v>#5</v>
      </c>
      <c r="D307" s="51" t="str">
        <f ca="1">'Landscape Trees '!E137</f>
        <v>0.5-1"</v>
      </c>
      <c r="E307" s="51" t="str">
        <f ca="1">'Landscape Trees '!F137</f>
        <v>2-3'</v>
      </c>
      <c r="F307" s="75">
        <f ca="1">'Landscape Trees '!G137</f>
        <v>14</v>
      </c>
      <c r="G307" s="76">
        <f ca="1">'Landscape Trees '!H137</f>
        <v>50</v>
      </c>
      <c r="H307" s="51">
        <f>'Landscape Trees '!I137</f>
        <v>0</v>
      </c>
    </row>
    <row r="308" spans="1:8" ht="12.75" x14ac:dyDescent="0.2">
      <c r="A308" s="51" t="str">
        <f ca="1">'Landscape Trees '!A138</f>
        <v>Platanus x acerifolia 'Exclamation'</v>
      </c>
      <c r="B308" s="51" t="str">
        <f ca="1">'Landscape Trees '!C138</f>
        <v>Exclamation London Plane Tree</v>
      </c>
      <c r="C308" s="51" t="str">
        <f ca="1">'Landscape Trees '!D138</f>
        <v>#10</v>
      </c>
      <c r="D308" s="51" t="str">
        <f ca="1">'Landscape Trees '!E138</f>
        <v>1.5-1.75"</v>
      </c>
      <c r="E308" s="51" t="str">
        <f ca="1">'Landscape Trees '!F138</f>
        <v>12-13.5'</v>
      </c>
      <c r="F308" s="75">
        <f ca="1">'Landscape Trees '!G138</f>
        <v>2</v>
      </c>
      <c r="G308" s="76">
        <f ca="1">'Landscape Trees '!H138</f>
        <v>100</v>
      </c>
      <c r="H308" s="51">
        <f>'Landscape Trees '!I138</f>
        <v>0</v>
      </c>
    </row>
    <row r="309" spans="1:8" ht="12.75" x14ac:dyDescent="0.2">
      <c r="A309" s="51" t="str">
        <f ca="1">'Landscape Trees '!A139</f>
        <v>Platanus x acerifolia 'Exclamation'</v>
      </c>
      <c r="B309" s="51" t="str">
        <f ca="1">'Landscape Trees '!C139</f>
        <v>Exclamation London Plane Tree</v>
      </c>
      <c r="C309" s="51" t="str">
        <f ca="1">'Landscape Trees '!D139</f>
        <v>#15</v>
      </c>
      <c r="D309" s="51" t="str">
        <f ca="1">'Landscape Trees '!E139</f>
        <v>1.25-1.5"</v>
      </c>
      <c r="E309" s="51" t="str">
        <f ca="1">'Landscape Trees '!F139</f>
        <v>10-12'</v>
      </c>
      <c r="F309" s="75">
        <f ca="1">'Landscape Trees '!G139</f>
        <v>4</v>
      </c>
      <c r="G309" s="76">
        <f ca="1">'Landscape Trees '!H139</f>
        <v>135</v>
      </c>
      <c r="H309" s="51">
        <f>'Landscape Trees '!I139</f>
        <v>0</v>
      </c>
    </row>
    <row r="310" spans="1:8" ht="12.75" x14ac:dyDescent="0.2">
      <c r="A310" s="51" t="str">
        <f ca="1">'Landscape Trees '!A140</f>
        <v>Populus tremuloides</v>
      </c>
      <c r="B310" s="51" t="str">
        <f ca="1">'Landscape Trees '!C140</f>
        <v>Quaking Aspen</v>
      </c>
      <c r="C310" s="51" t="str">
        <f ca="1">'Landscape Trees '!D140</f>
        <v>#5</v>
      </c>
      <c r="D310" s="51" t="str">
        <f ca="1">'Landscape Trees '!E140</f>
        <v>0.5-0.75"</v>
      </c>
      <c r="E310" s="51" t="str">
        <f ca="1">'Landscape Trees '!F140</f>
        <v>4-7'</v>
      </c>
      <c r="F310" s="75">
        <f ca="1">'Landscape Trees '!G140</f>
        <v>26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Populus tremuloides</v>
      </c>
      <c r="B311" s="51" t="str">
        <f ca="1">'Landscape Trees '!C141</f>
        <v>Quaking Aspen</v>
      </c>
      <c r="C311" s="51" t="str">
        <f ca="1">'Landscape Trees '!D141</f>
        <v>#15</v>
      </c>
      <c r="D311" s="51" t="str">
        <f ca="1">'Landscape Trees '!E141</f>
        <v>1-1.25"</v>
      </c>
      <c r="E311" s="51" t="str">
        <f ca="1">'Landscape Trees '!F141</f>
        <v>10-12'</v>
      </c>
      <c r="F311" s="75">
        <f ca="1">'Landscape Trees '!G141</f>
        <v>9</v>
      </c>
      <c r="G311" s="76">
        <f ca="1">'Landscape Trees '!H141</f>
        <v>135</v>
      </c>
      <c r="H311" s="51">
        <f>'Landscape Trees '!I141</f>
        <v>0</v>
      </c>
    </row>
    <row r="312" spans="1:8" ht="12.75" x14ac:dyDescent="0.2">
      <c r="A312" s="51" t="str">
        <f ca="1">'Landscape Trees '!A142</f>
        <v>Prunus 'Autumnalis'</v>
      </c>
      <c r="B312" s="51" t="str">
        <f ca="1">'Landscape Trees '!C142</f>
        <v>Autumnalis Cherry</v>
      </c>
      <c r="C312" s="51" t="str">
        <f ca="1">'Landscape Trees '!D142</f>
        <v>#10</v>
      </c>
      <c r="D312" s="51" t="str">
        <f ca="1">'Landscape Trees '!E142</f>
        <v>1-1.25"</v>
      </c>
      <c r="E312" s="51" t="str">
        <f ca="1">'Landscape Trees '!F142</f>
        <v>7-10'</v>
      </c>
      <c r="F312" s="75">
        <f ca="1">'Landscape Trees '!G142</f>
        <v>21</v>
      </c>
      <c r="G312" s="76">
        <f ca="1">'Landscape Trees '!H142</f>
        <v>100</v>
      </c>
      <c r="H312" s="51">
        <f>'Landscape Trees '!I142</f>
        <v>0</v>
      </c>
    </row>
    <row r="313" spans="1:8" ht="12.75" x14ac:dyDescent="0.2">
      <c r="A313" s="51" t="str">
        <f ca="1">'Landscape Trees '!A143</f>
        <v>Prunus 'Autumnalis'</v>
      </c>
      <c r="B313" s="51" t="str">
        <f ca="1">'Landscape Trees '!C143</f>
        <v>Autumnalis Cherry</v>
      </c>
      <c r="C313" s="51" t="str">
        <f ca="1">'Landscape Trees '!D143</f>
        <v>#15</v>
      </c>
      <c r="D313" s="51" t="str">
        <f ca="1">'Landscape Trees '!E143</f>
        <v>0.75-1"</v>
      </c>
      <c r="E313" s="51" t="str">
        <f ca="1">'Landscape Trees '!F143</f>
        <v>8-9'</v>
      </c>
      <c r="F313" s="75">
        <f ca="1">'Landscape Trees '!G143</f>
        <v>2</v>
      </c>
      <c r="G313" s="76">
        <f ca="1">'Landscape Trees '!H143</f>
        <v>135</v>
      </c>
      <c r="H313" s="51">
        <f>'Landscape Trees '!I143</f>
        <v>0</v>
      </c>
    </row>
    <row r="314" spans="1:8" ht="12.75" x14ac:dyDescent="0.2">
      <c r="A314" s="51" t="str">
        <f ca="1">'Landscape Trees '!A144</f>
        <v>Prunus 'Mt. Fuji'</v>
      </c>
      <c r="B314" s="51" t="str">
        <f ca="1">'Landscape Trees '!C144</f>
        <v>Mt Fuji Cherry</v>
      </c>
      <c r="C314" s="51" t="str">
        <f ca="1">'Landscape Trees '!D144</f>
        <v>#15</v>
      </c>
      <c r="D314" s="51" t="str">
        <f ca="1">'Landscape Trees '!E144</f>
        <v>1.25-1.25"</v>
      </c>
      <c r="E314" s="51" t="str">
        <f ca="1">'Landscape Trees '!F144</f>
        <v>8-9'</v>
      </c>
      <c r="F314" s="75">
        <f ca="1">'Landscape Trees '!G144</f>
        <v>2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Prunus 'Okame'</v>
      </c>
      <c r="B315" s="51" t="str">
        <f ca="1">'Landscape Trees '!C145</f>
        <v>Okame Cherry</v>
      </c>
      <c r="C315" s="51" t="str">
        <f ca="1">'Landscape Trees '!D145</f>
        <v>#10</v>
      </c>
      <c r="D315" s="51" t="str">
        <f ca="1">'Landscape Trees '!E145</f>
        <v>0.75-1.75"</v>
      </c>
      <c r="E315" s="51" t="str">
        <f ca="1">'Landscape Trees '!F145</f>
        <v>6-14'</v>
      </c>
      <c r="F315" s="75">
        <f ca="1">'Landscape Trees '!G145</f>
        <v>29</v>
      </c>
      <c r="G315" s="76">
        <f ca="1">'Landscape Trees '!H145</f>
        <v>100</v>
      </c>
      <c r="H315" s="51">
        <f>'Landscape Trees '!I145</f>
        <v>0</v>
      </c>
    </row>
    <row r="316" spans="1:8" ht="12.75" x14ac:dyDescent="0.2">
      <c r="A316" s="51" t="str">
        <f ca="1">'Landscape Trees '!A146</f>
        <v>Prunus 'Okame'</v>
      </c>
      <c r="B316" s="51" t="str">
        <f ca="1">'Landscape Trees '!C146</f>
        <v>Okame Cherry</v>
      </c>
      <c r="C316" s="51" t="str">
        <f ca="1">'Landscape Trees '!D146</f>
        <v>#15</v>
      </c>
      <c r="D316" s="51" t="str">
        <f ca="1">'Landscape Trees '!E146</f>
        <v>0.75-1"</v>
      </c>
      <c r="E316" s="51" t="str">
        <f ca="1">'Landscape Trees '!F146</f>
        <v>8-11'</v>
      </c>
      <c r="F316" s="75">
        <f ca="1">'Landscape Trees '!G146</f>
        <v>2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Prunus × yedoensis</v>
      </c>
      <c r="B317" s="51" t="str">
        <f ca="1">'Landscape Trees '!C147</f>
        <v>Yoshino Cherry</v>
      </c>
      <c r="C317" s="51" t="str">
        <f ca="1">'Landscape Trees '!D147</f>
        <v>#15</v>
      </c>
      <c r="D317" s="51" t="str">
        <f ca="1">'Landscape Trees '!E147</f>
        <v>1-1.5"</v>
      </c>
      <c r="E317" s="51" t="str">
        <f ca="1">'Landscape Trees '!F147</f>
        <v>8-10'</v>
      </c>
      <c r="F317" s="75">
        <f ca="1">'Landscape Trees '!G147</f>
        <v>8</v>
      </c>
      <c r="G317" s="76">
        <f ca="1">'Landscape Trees '!H147</f>
        <v>135</v>
      </c>
      <c r="H317" s="51">
        <f>'Landscape Trees '!I147</f>
        <v>0</v>
      </c>
    </row>
    <row r="318" spans="1:8" ht="12.75" x14ac:dyDescent="0.2">
      <c r="A318" s="51" t="str">
        <f ca="1">'Landscape Trees '!A148</f>
        <v>Prunus americana</v>
      </c>
      <c r="B318" s="51" t="str">
        <f ca="1">'Landscape Trees '!C148</f>
        <v>American Plum</v>
      </c>
      <c r="C318" s="51" t="str">
        <f ca="1">'Landscape Trees '!D148</f>
        <v>#5</v>
      </c>
      <c r="D318" s="51" t="str">
        <f ca="1">'Landscape Trees '!E148</f>
        <v>0.25-0.75"</v>
      </c>
      <c r="E318" s="51" t="str">
        <f ca="1">'Landscape Trees '!F148</f>
        <v>4-5'</v>
      </c>
      <c r="F318" s="75">
        <f ca="1">'Landscape Trees '!G148</f>
        <v>23</v>
      </c>
      <c r="G318" s="76">
        <f ca="1">'Landscape Trees '!H148</f>
        <v>50</v>
      </c>
      <c r="H318" s="51">
        <f>'Landscape Trees '!I148</f>
        <v>0</v>
      </c>
    </row>
    <row r="319" spans="1:8" ht="12.75" x14ac:dyDescent="0.2">
      <c r="A319" s="51" t="str">
        <f ca="1">'Landscape Trees '!A149</f>
        <v>Prunus cerasifera 'Thundercloud'</v>
      </c>
      <c r="B319" s="51" t="str">
        <f ca="1">'Landscape Trees '!C149</f>
        <v>Thundercloud Plum</v>
      </c>
      <c r="C319" s="51" t="str">
        <f ca="1">'Landscape Trees '!D149</f>
        <v>#15</v>
      </c>
      <c r="D319" s="51" t="str">
        <f ca="1">'Landscape Trees '!E149</f>
        <v>1.5-1.5"</v>
      </c>
      <c r="E319" s="51" t="str">
        <f ca="1">'Landscape Trees '!F149</f>
        <v>10-11'</v>
      </c>
      <c r="F319" s="75">
        <f ca="1">'Landscape Trees '!G149</f>
        <v>9</v>
      </c>
      <c r="G319" s="76">
        <f ca="1">'Landscape Trees '!H149</f>
        <v>135</v>
      </c>
      <c r="H319" s="51">
        <f>'Landscape Trees '!I149</f>
        <v>0</v>
      </c>
    </row>
    <row r="320" spans="1:8" ht="12.75" x14ac:dyDescent="0.2">
      <c r="A320" s="51" t="str">
        <f ca="1">'Landscape Trees '!A150</f>
        <v>Prunus maritima</v>
      </c>
      <c r="B320" s="51" t="str">
        <f ca="1">'Landscape Trees '!C150</f>
        <v>Beach Plum</v>
      </c>
      <c r="C320" s="51" t="str">
        <f ca="1">'Landscape Trees '!D150</f>
        <v>#5</v>
      </c>
      <c r="D320" s="51" t="str">
        <f ca="1">'Landscape Trees '!E150</f>
        <v>0.75-0.75"</v>
      </c>
      <c r="E320" s="51" t="str">
        <f ca="1">'Landscape Trees '!F150</f>
        <v>5-7'</v>
      </c>
      <c r="F320" s="75">
        <f ca="1">'Landscape Trees '!G150</f>
        <v>11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Prunus serrulata 'Kwanzan'</v>
      </c>
      <c r="B321" s="51" t="str">
        <f ca="1">'Landscape Trees '!C151</f>
        <v>Kwanzan Cherry</v>
      </c>
      <c r="C321" s="51" t="str">
        <f ca="1">'Landscape Trees '!D151</f>
        <v>#5</v>
      </c>
      <c r="D321" s="51" t="str">
        <f ca="1">'Landscape Trees '!E151</f>
        <v>0.5-1"</v>
      </c>
      <c r="E321" s="51" t="str">
        <f ca="1">'Landscape Trees '!F151</f>
        <v>3-7'</v>
      </c>
      <c r="F321" s="75">
        <f ca="1">'Landscape Trees '!G151</f>
        <v>17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Prunus serrulata 'Kwanzan'</v>
      </c>
      <c r="B322" s="51" t="str">
        <f ca="1">'Landscape Trees '!C152</f>
        <v>Kwanzan Cherry</v>
      </c>
      <c r="C322" s="51" t="str">
        <f ca="1">'Landscape Trees '!D152</f>
        <v>#10</v>
      </c>
      <c r="D322" s="51" t="str">
        <f ca="1">'Landscape Trees '!E152</f>
        <v>0.75-1.75"</v>
      </c>
      <c r="E322" s="51" t="str">
        <f ca="1">'Landscape Trees '!F152</f>
        <v>7-10'</v>
      </c>
      <c r="F322" s="75">
        <f ca="1">'Landscape Trees '!G152</f>
        <v>22</v>
      </c>
      <c r="G322" s="76">
        <f ca="1">'Landscape Trees '!H152</f>
        <v>100</v>
      </c>
      <c r="H322" s="51">
        <f>'Landscape Trees '!I152</f>
        <v>0</v>
      </c>
    </row>
    <row r="323" spans="1:8" ht="12.75" x14ac:dyDescent="0.2">
      <c r="A323" s="51" t="str">
        <f ca="1">'Landscape Trees '!A153</f>
        <v>Prunus serrulata 'Kwanzan'</v>
      </c>
      <c r="B323" s="51" t="str">
        <f ca="1">'Landscape Trees '!C153</f>
        <v>Kwanzan Cherry</v>
      </c>
      <c r="C323" s="51" t="str">
        <f ca="1">'Landscape Trees '!D153</f>
        <v>#15</v>
      </c>
      <c r="D323" s="51" t="str">
        <f ca="1">'Landscape Trees '!E153</f>
        <v>1.25-1.25"</v>
      </c>
      <c r="E323" s="51" t="str">
        <f ca="1">'Landscape Trees '!F153</f>
        <v>9-10'</v>
      </c>
      <c r="F323" s="75">
        <f ca="1">'Landscape Trees '!G153</f>
        <v>2</v>
      </c>
      <c r="G323" s="76">
        <f ca="1">'Landscape Trees '!H153</f>
        <v>135</v>
      </c>
      <c r="H323" s="51">
        <f>'Landscape Trees '!I153</f>
        <v>0</v>
      </c>
    </row>
    <row r="324" spans="1:8" ht="12.75" x14ac:dyDescent="0.2">
      <c r="A324" s="51" t="str">
        <f ca="1">'Landscape Trees '!A154</f>
        <v>Prunus subhirtella 'Snow Fountains'</v>
      </c>
      <c r="B324" s="51" t="str">
        <f ca="1">'Landscape Trees '!C154</f>
        <v>Snow Fountains Cherry</v>
      </c>
      <c r="C324" s="51" t="str">
        <f ca="1">'Landscape Trees '!D154</f>
        <v>#15</v>
      </c>
      <c r="D324" s="51" t="str">
        <f ca="1">'Landscape Trees '!E154</f>
        <v>1.25-2"</v>
      </c>
      <c r="E324" s="51" t="str">
        <f ca="1">'Landscape Trees '!F154</f>
        <v>6-8'</v>
      </c>
      <c r="F324" s="75">
        <f ca="1">'Landscape Trees '!G154</f>
        <v>22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Prunus subhirtella 'Snow Fountains'</v>
      </c>
      <c r="B325" s="51" t="str">
        <f ca="1">'Landscape Trees '!C155</f>
        <v>Snow Fountains Cherry</v>
      </c>
      <c r="C325" s="51" t="str">
        <f ca="1">'Landscape Trees '!D155</f>
        <v>#25</v>
      </c>
      <c r="D325" s="51" t="str">
        <f ca="1">'Landscape Trees '!E155</f>
        <v>2.25-2.5"</v>
      </c>
      <c r="E325" s="51" t="str">
        <f ca="1">'Landscape Trees '!F155</f>
        <v>7-8'</v>
      </c>
      <c r="F325" s="75">
        <f ca="1">'Landscape Trees '!G155</f>
        <v>3</v>
      </c>
      <c r="G325" s="76">
        <f ca="1">'Landscape Trees '!H155</f>
        <v>150</v>
      </c>
      <c r="H325" s="51">
        <f>'Landscape Trees '!I155</f>
        <v>0</v>
      </c>
    </row>
    <row r="326" spans="1:8" ht="12.75" x14ac:dyDescent="0.2">
      <c r="A326" s="51" t="str">
        <f ca="1">'Landscape Trees '!A156</f>
        <v>Prunus subhirtella "Pendula plena rosea"</v>
      </c>
      <c r="B326" s="51" t="str">
        <f ca="1">'Landscape Trees '!C156</f>
        <v>Double Pink Weeping Cherry</v>
      </c>
      <c r="C326" s="51" t="str">
        <f ca="1">'Landscape Trees '!D156</f>
        <v>#15</v>
      </c>
      <c r="D326" s="51" t="str">
        <f ca="1">'Landscape Trees '!E156</f>
        <v>1.5-1.75"</v>
      </c>
      <c r="E326" s="51" t="str">
        <f ca="1">'Landscape Trees '!F156</f>
        <v>7-8'</v>
      </c>
      <c r="F326" s="75">
        <f ca="1">'Landscape Trees '!G156</f>
        <v>5</v>
      </c>
      <c r="G326" s="76">
        <f ca="1">'Landscape Trees '!H156</f>
        <v>135</v>
      </c>
      <c r="H326" s="51">
        <f>'Landscape Trees '!I156</f>
        <v>0</v>
      </c>
    </row>
    <row r="327" spans="1:8" ht="12.75" x14ac:dyDescent="0.2">
      <c r="A327" s="51" t="str">
        <f ca="1">'Landscape Trees '!A157</f>
        <v>Prunus virginiana 'Shubert Select'</v>
      </c>
      <c r="B327" s="51" t="str">
        <f ca="1">'Landscape Trees '!C157</f>
        <v>Canada Red Select Cherry</v>
      </c>
      <c r="C327" s="51" t="str">
        <f ca="1">'Landscape Trees '!D157</f>
        <v>#15</v>
      </c>
      <c r="D327" s="51" t="str">
        <f ca="1">'Landscape Trees '!E157</f>
        <v>1.25-1.25"</v>
      </c>
      <c r="E327" s="51" t="str">
        <f ca="1">'Landscape Trees '!F157</f>
        <v>12-12.5'</v>
      </c>
      <c r="F327" s="75">
        <f ca="1">'Landscape Trees '!G157</f>
        <v>1</v>
      </c>
      <c r="G327" s="76">
        <f ca="1">'Landscape Trees '!H157</f>
        <v>135</v>
      </c>
      <c r="H327" s="51">
        <f>'Landscape Trees '!I157</f>
        <v>0</v>
      </c>
    </row>
    <row r="328" spans="1:8" ht="12.75" x14ac:dyDescent="0.2">
      <c r="A328" s="51" t="str">
        <f ca="1">'Landscape Trees '!A158</f>
        <v>Quercus</v>
      </c>
      <c r="B328" s="51" t="str">
        <f ca="1">'Landscape Trees '!C158</f>
        <v xml:space="preserve">Mystery Oak (Red Oak Family) </v>
      </c>
      <c r="C328" s="51" t="str">
        <f ca="1">'Landscape Trees '!D158</f>
        <v>#5</v>
      </c>
      <c r="D328" s="51" t="str">
        <f ca="1">'Landscape Trees '!E158</f>
        <v>1-1.25"</v>
      </c>
      <c r="E328" s="51" t="str">
        <f ca="1">'Landscape Trees '!F158</f>
        <v>6-9'</v>
      </c>
      <c r="F328" s="75">
        <f ca="1">'Landscape Trees '!G158</f>
        <v>2</v>
      </c>
      <c r="G328" s="76">
        <f ca="1">'Landscape Trees '!H158</f>
        <v>55</v>
      </c>
      <c r="H328" s="51">
        <f>'Landscape Trees '!I158</f>
        <v>0</v>
      </c>
    </row>
    <row r="329" spans="1:8" ht="12.75" x14ac:dyDescent="0.2">
      <c r="A329" s="51" t="str">
        <f ca="1">'Landscape Trees '!A159</f>
        <v>Quercus</v>
      </c>
      <c r="B329" s="51" t="str">
        <f ca="1">'Landscape Trees '!C159</f>
        <v xml:space="preserve">Mystery Oak (Red Oak Family) </v>
      </c>
      <c r="C329" s="51" t="str">
        <f ca="1">'Landscape Trees '!D159</f>
        <v>#7</v>
      </c>
      <c r="D329" s="51" t="str">
        <f ca="1">'Landscape Trees '!E159</f>
        <v>1-1.25"</v>
      </c>
      <c r="E329" s="51" t="str">
        <f ca="1">'Landscape Trees '!F159</f>
        <v>8-9'</v>
      </c>
      <c r="F329" s="75">
        <f ca="1">'Landscape Trees '!G159</f>
        <v>2</v>
      </c>
      <c r="G329" s="76">
        <f ca="1">'Landscape Trees '!H159</f>
        <v>70</v>
      </c>
      <c r="H329" s="51">
        <f>'Landscape Trees '!I159</f>
        <v>0</v>
      </c>
    </row>
    <row r="330" spans="1:8" ht="12.75" x14ac:dyDescent="0.2">
      <c r="A330" s="51" t="str">
        <f ca="1">'Landscape Trees '!A160</f>
        <v>Quercus 'Kindred Spirit'</v>
      </c>
      <c r="B330" s="51" t="str">
        <f ca="1">'Landscape Trees '!C160</f>
        <v>Kindred Spirit Oak</v>
      </c>
      <c r="C330" s="51" t="str">
        <f ca="1">'Landscape Trees '!D160</f>
        <v>#5</v>
      </c>
      <c r="D330" s="51" t="str">
        <f ca="1">'Landscape Trees '!E160</f>
        <v>1.25-1.25"</v>
      </c>
      <c r="E330" s="51" t="str">
        <f ca="1">'Landscape Trees '!F160</f>
        <v>9-9'</v>
      </c>
      <c r="F330" s="75">
        <f ca="1">'Landscape Trees '!G160</f>
        <v>1</v>
      </c>
      <c r="G330" s="76">
        <f ca="1">'Landscape Trees '!H160</f>
        <v>70</v>
      </c>
      <c r="H330" s="51">
        <f>'Landscape Trees '!I160</f>
        <v>0</v>
      </c>
    </row>
    <row r="331" spans="1:8" ht="12.75" x14ac:dyDescent="0.2">
      <c r="A331" s="51" t="str">
        <f ca="1">'Landscape Trees '!A161</f>
        <v>Quercus alba</v>
      </c>
      <c r="B331" s="51" t="str">
        <f ca="1">'Landscape Trees '!C161</f>
        <v>White Oak</v>
      </c>
      <c r="C331" s="51" t="str">
        <f ca="1">'Landscape Trees '!D161</f>
        <v>#5</v>
      </c>
      <c r="D331" s="51" t="str">
        <f ca="1">'Landscape Trees '!E161</f>
        <v>0.5-1"</v>
      </c>
      <c r="E331" s="51" t="str">
        <f ca="1">'Landscape Trees '!F161</f>
        <v>3-5'</v>
      </c>
      <c r="F331" s="75">
        <f ca="1">'Landscape Trees '!G161</f>
        <v>39</v>
      </c>
      <c r="G331" s="76">
        <f ca="1">'Landscape Trees '!H161</f>
        <v>50</v>
      </c>
      <c r="H331" s="51">
        <f>'Landscape Trees '!I161</f>
        <v>0</v>
      </c>
    </row>
    <row r="332" spans="1:8" ht="12.75" x14ac:dyDescent="0.2">
      <c r="A332" s="51" t="str">
        <f ca="1">'Landscape Trees '!A162</f>
        <v>Quercus alba</v>
      </c>
      <c r="B332" s="51" t="str">
        <f ca="1">'Landscape Trees '!C162</f>
        <v>White Oak</v>
      </c>
      <c r="C332" s="51" t="str">
        <f ca="1">'Landscape Trees '!D162</f>
        <v>#7</v>
      </c>
      <c r="D332" s="51" t="str">
        <f ca="1">'Landscape Trees '!E162</f>
        <v>0.75-1"</v>
      </c>
      <c r="E332" s="51" t="str">
        <f ca="1">'Landscape Trees '!F162</f>
        <v>6-7'</v>
      </c>
      <c r="F332" s="75">
        <f ca="1">'Landscape Trees '!G162</f>
        <v>28</v>
      </c>
      <c r="G332" s="76">
        <f ca="1">'Landscape Trees '!H162</f>
        <v>70</v>
      </c>
      <c r="H332" s="51">
        <f>'Landscape Trees '!I162</f>
        <v>0</v>
      </c>
    </row>
    <row r="333" spans="1:8" ht="12.75" x14ac:dyDescent="0.2">
      <c r="A333" s="51" t="str">
        <f ca="1">'Landscape Trees '!A163</f>
        <v>Quercus alba</v>
      </c>
      <c r="B333" s="51" t="str">
        <f ca="1">'Landscape Trees '!C163</f>
        <v>White Oak</v>
      </c>
      <c r="C333" s="51" t="str">
        <f ca="1">'Landscape Trees '!D163</f>
        <v>#10</v>
      </c>
      <c r="D333" s="51" t="str">
        <f ca="1">'Landscape Trees '!E163</f>
        <v>0.75-1.25"</v>
      </c>
      <c r="E333" s="51" t="str">
        <f ca="1">'Landscape Trees '!F163</f>
        <v>6-7'</v>
      </c>
      <c r="F333" s="75">
        <f ca="1">'Landscape Trees '!G163</f>
        <v>11</v>
      </c>
      <c r="G333" s="76">
        <f ca="1">'Landscape Trees '!H163</f>
        <v>100</v>
      </c>
      <c r="H333" s="51">
        <f>'Landscape Trees '!I163</f>
        <v>0</v>
      </c>
    </row>
    <row r="334" spans="1:8" ht="12.75" x14ac:dyDescent="0.2">
      <c r="A334" s="51" t="str">
        <f ca="1">'Landscape Trees '!A164</f>
        <v>Quercus alba</v>
      </c>
      <c r="B334" s="51" t="str">
        <f ca="1">'Landscape Trees '!C164</f>
        <v>White Oak</v>
      </c>
      <c r="C334" s="51" t="str">
        <f ca="1">'Landscape Trees '!D164</f>
        <v>#15</v>
      </c>
      <c r="D334" s="51" t="str">
        <f ca="1">'Landscape Trees '!E164</f>
        <v>0.75-1.5"</v>
      </c>
      <c r="E334" s="51" t="str">
        <f ca="1">'Landscape Trees '!F164</f>
        <v>7-11'</v>
      </c>
      <c r="F334" s="75">
        <f ca="1">'Landscape Trees '!G164</f>
        <v>4</v>
      </c>
      <c r="G334" s="76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Quercus bicolor</v>
      </c>
      <c r="B335" s="51" t="str">
        <f ca="1">'Landscape Trees '!C165</f>
        <v>Swamp White Oak</v>
      </c>
      <c r="C335" s="51" t="str">
        <f ca="1">'Landscape Trees '!D165</f>
        <v>#5</v>
      </c>
      <c r="D335" s="51" t="str">
        <f ca="1">'Landscape Trees '!E165</f>
        <v>0.5-1"</v>
      </c>
      <c r="E335" s="51" t="str">
        <f ca="1">'Landscape Trees '!F165</f>
        <v>4-8'</v>
      </c>
      <c r="F335" s="75">
        <f ca="1">'Landscape Trees '!G165</f>
        <v>413</v>
      </c>
      <c r="G335" s="76">
        <f ca="1">'Landscape Trees '!H165</f>
        <v>50</v>
      </c>
      <c r="H335" s="51">
        <f>'Landscape Trees '!I165</f>
        <v>0</v>
      </c>
    </row>
    <row r="336" spans="1:8" ht="12.75" x14ac:dyDescent="0.2">
      <c r="A336" s="51" t="str">
        <f ca="1">'Landscape Trees '!A166</f>
        <v>Quercus bicolor</v>
      </c>
      <c r="B336" s="51" t="str">
        <f ca="1">'Landscape Trees '!C166</f>
        <v>Swamp White Oak</v>
      </c>
      <c r="C336" s="51" t="str">
        <f ca="1">'Landscape Trees '!D166</f>
        <v>#10</v>
      </c>
      <c r="D336" s="51" t="str">
        <f ca="1">'Landscape Trees '!E166</f>
        <v>1-1.25"</v>
      </c>
      <c r="E336" s="51" t="str">
        <f ca="1">'Landscape Trees '!F166</f>
        <v>6-8'</v>
      </c>
      <c r="F336" s="75">
        <f ca="1">'Landscape Trees '!G166</f>
        <v>43</v>
      </c>
      <c r="G336" s="76">
        <f ca="1">'Landscape Trees '!H166</f>
        <v>100</v>
      </c>
      <c r="H336" s="51">
        <f>'Landscape Trees '!I166</f>
        <v>0</v>
      </c>
    </row>
    <row r="337" spans="1:8" ht="12.75" x14ac:dyDescent="0.2">
      <c r="A337" s="51" t="str">
        <f ca="1">'Landscape Trees '!A167</f>
        <v>Quercus bicolor</v>
      </c>
      <c r="B337" s="51" t="str">
        <f ca="1">'Landscape Trees '!C167</f>
        <v>Swamp White Oak</v>
      </c>
      <c r="C337" s="51" t="str">
        <f ca="1">'Landscape Trees '!D167</f>
        <v>#15</v>
      </c>
      <c r="D337" s="51" t="str">
        <f ca="1">'Landscape Trees '!E167</f>
        <v>1.25-1.5"</v>
      </c>
      <c r="E337" s="51" t="str">
        <f ca="1">'Landscape Trees '!F167</f>
        <v>10-12'</v>
      </c>
      <c r="F337" s="75">
        <f ca="1">'Landscape Trees '!G167</f>
        <v>7</v>
      </c>
      <c r="G337" s="76">
        <f ca="1">'Landscape Trees '!H167</f>
        <v>135</v>
      </c>
      <c r="H337" s="51">
        <f>'Landscape Trees '!I167</f>
        <v>0</v>
      </c>
    </row>
    <row r="338" spans="1:8" ht="12.75" x14ac:dyDescent="0.2">
      <c r="A338" s="51" t="str">
        <f ca="1">'Landscape Trees '!A168</f>
        <v>Quercus coccinea</v>
      </c>
      <c r="B338" s="51" t="str">
        <f ca="1">'Landscape Trees '!C168</f>
        <v>Scarlet Oak</v>
      </c>
      <c r="C338" s="51" t="str">
        <f ca="1">'Landscape Trees '!D168</f>
        <v>#5</v>
      </c>
      <c r="D338" s="51" t="str">
        <f ca="1">'Landscape Trees '!E168</f>
        <v>1-1"</v>
      </c>
      <c r="E338" s="51" t="str">
        <f ca="1">'Landscape Trees '!F168</f>
        <v>7.5-7.5'</v>
      </c>
      <c r="F338" s="75">
        <f ca="1">'Landscape Trees '!G168</f>
        <v>1</v>
      </c>
      <c r="G338" s="76">
        <f ca="1">'Landscape Trees '!H168</f>
        <v>50</v>
      </c>
      <c r="H338" s="51">
        <f>'Landscape Trees '!I168</f>
        <v>0</v>
      </c>
    </row>
    <row r="339" spans="1:8" ht="12.75" x14ac:dyDescent="0.2">
      <c r="A339" s="51" t="str">
        <f ca="1">'Landscape Trees '!A169</f>
        <v>Quercus hemisphaerica</v>
      </c>
      <c r="B339" s="51" t="str">
        <f ca="1">'Landscape Trees '!C169</f>
        <v>Laurel Oak</v>
      </c>
      <c r="C339" s="51" t="str">
        <f ca="1">'Landscape Trees '!D169</f>
        <v>#5</v>
      </c>
      <c r="D339" s="51" t="str">
        <f ca="1">'Landscape Trees '!E169</f>
        <v>0.5-1"</v>
      </c>
      <c r="E339" s="51" t="str">
        <f ca="1">'Landscape Trees '!F169</f>
        <v>3.5-6.5'</v>
      </c>
      <c r="F339" s="75">
        <f ca="1">'Landscape Trees '!G169</f>
        <v>1</v>
      </c>
      <c r="G339" s="76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Quercus imbricaria</v>
      </c>
      <c r="B340" s="51" t="str">
        <f ca="1">'Landscape Trees '!C170</f>
        <v>Shingle Oak</v>
      </c>
      <c r="C340" s="51" t="str">
        <f ca="1">'Landscape Trees '!D170</f>
        <v>#5</v>
      </c>
      <c r="D340" s="51" t="str">
        <f ca="1">'Landscape Trees '!E170</f>
        <v>0.25-0.75"</v>
      </c>
      <c r="E340" s="51" t="str">
        <f ca="1">'Landscape Trees '!F170</f>
        <v>3-5'</v>
      </c>
      <c r="F340" s="75">
        <f ca="1">'Landscape Trees '!G170</f>
        <v>5</v>
      </c>
      <c r="G340" s="76">
        <f ca="1">'Landscape Trees '!H170</f>
        <v>50</v>
      </c>
      <c r="H340" s="51">
        <f>'Landscape Trees '!I170</f>
        <v>0</v>
      </c>
    </row>
    <row r="341" spans="1:8" ht="12.75" x14ac:dyDescent="0.2">
      <c r="A341" s="51" t="str">
        <f ca="1">'Landscape Trees '!A171</f>
        <v>Quercus lyrata</v>
      </c>
      <c r="B341" s="51" t="str">
        <f ca="1">'Landscape Trees '!C171</f>
        <v>Overcup Oak</v>
      </c>
      <c r="C341" s="51" t="str">
        <f ca="1">'Landscape Trees '!D171</f>
        <v>#5</v>
      </c>
      <c r="D341" s="51" t="str">
        <f ca="1">'Landscape Trees '!E171</f>
        <v>0.25-1"</v>
      </c>
      <c r="E341" s="51" t="str">
        <f ca="1">'Landscape Trees '!F171</f>
        <v>3.5-6.5'</v>
      </c>
      <c r="F341" s="75">
        <f ca="1">'Landscape Trees '!G171</f>
        <v>27</v>
      </c>
      <c r="G341" s="76">
        <f ca="1">'Landscape Trees '!H171</f>
        <v>50</v>
      </c>
      <c r="H341" s="51">
        <f>'Landscape Trees '!I171</f>
        <v>0</v>
      </c>
    </row>
    <row r="342" spans="1:8" ht="12.75" x14ac:dyDescent="0.2">
      <c r="A342" s="51" t="str">
        <f ca="1">'Landscape Trees '!A172</f>
        <v>Quercus macrocarpa</v>
      </c>
      <c r="B342" s="51" t="str">
        <f ca="1">'Landscape Trees '!C172</f>
        <v>Bur Oak</v>
      </c>
      <c r="C342" s="51" t="str">
        <f ca="1">'Landscape Trees '!D172</f>
        <v>#5</v>
      </c>
      <c r="D342" s="51" t="str">
        <f ca="1">'Landscape Trees '!E172</f>
        <v>0.5-1"</v>
      </c>
      <c r="E342" s="51" t="str">
        <f ca="1">'Landscape Trees '!F172</f>
        <v>4-6'</v>
      </c>
      <c r="F342" s="75">
        <f ca="1">'Landscape Trees '!G172</f>
        <v>17</v>
      </c>
      <c r="G342" s="76">
        <f ca="1">'Landscape Trees '!H172</f>
        <v>50</v>
      </c>
      <c r="H342" s="51">
        <f>'Landscape Trees '!I172</f>
        <v>0</v>
      </c>
    </row>
    <row r="343" spans="1:8" ht="12.75" x14ac:dyDescent="0.2">
      <c r="A343" s="51" t="str">
        <f ca="1">'Landscape Trees '!A173</f>
        <v>Quercus macrocarpa</v>
      </c>
      <c r="B343" s="51" t="str">
        <f ca="1">'Landscape Trees '!C173</f>
        <v>Bur Oak</v>
      </c>
      <c r="C343" s="51" t="str">
        <f ca="1">'Landscape Trees '!D173</f>
        <v>#10</v>
      </c>
      <c r="D343" s="51" t="str">
        <f ca="1">'Landscape Trees '!E173</f>
        <v>0.75-0.75"</v>
      </c>
      <c r="E343" s="51" t="str">
        <f ca="1">'Landscape Trees '!F173</f>
        <v>4.5-5.5'</v>
      </c>
      <c r="F343" s="75">
        <f ca="1">'Landscape Trees '!G173</f>
        <v>4</v>
      </c>
      <c r="G343" s="76">
        <f ca="1">'Landscape Trees '!H173</f>
        <v>100</v>
      </c>
      <c r="H343" s="51">
        <f>'Landscape Trees '!I173</f>
        <v>0</v>
      </c>
    </row>
    <row r="344" spans="1:8" ht="12.75" x14ac:dyDescent="0.2">
      <c r="A344" s="51" t="str">
        <f ca="1">'Landscape Trees '!A174</f>
        <v>Quercus macrocarpa</v>
      </c>
      <c r="B344" s="51" t="str">
        <f ca="1">'Landscape Trees '!C174</f>
        <v>Bur Oak</v>
      </c>
      <c r="C344" s="51" t="str">
        <f ca="1">'Landscape Trees '!D174</f>
        <v>#15</v>
      </c>
      <c r="D344" s="51" t="str">
        <f ca="1">'Landscape Trees '!E174</f>
        <v>1-1.25"</v>
      </c>
      <c r="E344" s="51" t="str">
        <f ca="1">'Landscape Trees '!F174</f>
        <v>9-10'</v>
      </c>
      <c r="F344" s="75">
        <f ca="1">'Landscape Trees '!G174</f>
        <v>7</v>
      </c>
      <c r="G344" s="76">
        <f ca="1">'Landscape Trees '!H174</f>
        <v>135</v>
      </c>
      <c r="H344" s="51">
        <f>'Landscape Trees '!I174</f>
        <v>0</v>
      </c>
    </row>
    <row r="345" spans="1:8" ht="12.75" x14ac:dyDescent="0.2">
      <c r="A345" s="51" t="str">
        <f ca="1">'Landscape Trees '!A175</f>
        <v>Quercus macrocarpa</v>
      </c>
      <c r="B345" s="51" t="str">
        <f ca="1">'Landscape Trees '!C175</f>
        <v>Bur Oak</v>
      </c>
      <c r="C345" s="51" t="str">
        <f ca="1">'Landscape Trees '!D175</f>
        <v>#25</v>
      </c>
      <c r="D345" s="51" t="str">
        <f ca="1">'Landscape Trees '!E175</f>
        <v>1.25-1.75"</v>
      </c>
      <c r="E345" s="51" t="str">
        <f ca="1">'Landscape Trees '!F175</f>
        <v>10-14'</v>
      </c>
      <c r="F345" s="75">
        <f ca="1">'Landscape Trees '!G175</f>
        <v>5</v>
      </c>
      <c r="G345" s="76">
        <f ca="1">'Landscape Trees '!H175</f>
        <v>150</v>
      </c>
      <c r="H345" s="51">
        <f>'Landscape Trees '!I175</f>
        <v>0</v>
      </c>
    </row>
    <row r="346" spans="1:8" ht="12.75" x14ac:dyDescent="0.2">
      <c r="A346" s="51" t="str">
        <f ca="1">'Landscape Trees '!A176</f>
        <v>Quercus marilandica</v>
      </c>
      <c r="B346" s="51" t="str">
        <f ca="1">'Landscape Trees '!C176</f>
        <v>Blackjack Oak</v>
      </c>
      <c r="C346" s="51" t="str">
        <f ca="1">'Landscape Trees '!D176</f>
        <v>#5</v>
      </c>
      <c r="D346" s="51" t="str">
        <f ca="1">'Landscape Trees '!E176</f>
        <v>0.25-0.75"</v>
      </c>
      <c r="E346" s="51" t="str">
        <f ca="1">'Landscape Trees '!F176</f>
        <v>3.5-5'</v>
      </c>
      <c r="F346" s="75">
        <f ca="1">'Landscape Trees '!G176</f>
        <v>11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Quercus muehlenbergii</v>
      </c>
      <c r="B347" s="51" t="str">
        <f ca="1">'Landscape Trees '!C177</f>
        <v>Chinkapin Oak</v>
      </c>
      <c r="C347" s="51" t="str">
        <f ca="1">'Landscape Trees '!D177</f>
        <v>#15</v>
      </c>
      <c r="D347" s="51" t="str">
        <f ca="1">'Landscape Trees '!E177</f>
        <v>1-1.75"</v>
      </c>
      <c r="E347" s="51" t="str">
        <f ca="1">'Landscape Trees '!F177</f>
        <v>7-13'</v>
      </c>
      <c r="F347" s="75">
        <f ca="1">'Landscape Trees '!G177</f>
        <v>6</v>
      </c>
      <c r="G347" s="76">
        <f ca="1">'Landscape Trees '!H177</f>
        <v>135</v>
      </c>
      <c r="H347" s="51">
        <f>'Landscape Trees '!I177</f>
        <v>0</v>
      </c>
    </row>
    <row r="348" spans="1:8" ht="12.75" x14ac:dyDescent="0.2">
      <c r="A348" s="51" t="str">
        <f ca="1">'Landscape Trees '!A178</f>
        <v>Quercus palustris</v>
      </c>
      <c r="B348" s="51" t="str">
        <f ca="1">'Landscape Trees '!C178</f>
        <v>Pin Oak</v>
      </c>
      <c r="C348" s="51" t="str">
        <f ca="1">'Landscape Trees '!D178</f>
        <v>#5</v>
      </c>
      <c r="D348" s="51" t="str">
        <f ca="1">'Landscape Trees '!E178</f>
        <v>0.5-1.5"</v>
      </c>
      <c r="E348" s="51" t="str">
        <f ca="1">'Landscape Trees '!F178</f>
        <v>4-10'</v>
      </c>
      <c r="F348" s="75">
        <f ca="1">'Landscape Trees '!G178</f>
        <v>17</v>
      </c>
      <c r="G348" s="76">
        <f ca="1">'Landscape Trees '!H178</f>
        <v>50</v>
      </c>
      <c r="H348" s="51">
        <f>'Landscape Trees '!I178</f>
        <v>0</v>
      </c>
    </row>
    <row r="349" spans="1:8" ht="12.75" x14ac:dyDescent="0.2">
      <c r="A349" s="51" t="str">
        <f ca="1">'Landscape Trees '!A179</f>
        <v>Quercus palustris</v>
      </c>
      <c r="B349" s="51" t="str">
        <f ca="1">'Landscape Trees '!C179</f>
        <v>Pin Oak</v>
      </c>
      <c r="C349" s="51" t="str">
        <f ca="1">'Landscape Trees '!D179</f>
        <v>#7</v>
      </c>
      <c r="D349" s="51" t="str">
        <f ca="1">'Landscape Trees '!E179</f>
        <v>1-1.75"</v>
      </c>
      <c r="E349" s="51" t="str">
        <f ca="1">'Landscape Trees '!F179</f>
        <v>7-14'</v>
      </c>
      <c r="F349" s="75">
        <f ca="1">'Landscape Trees '!G179</f>
        <v>16</v>
      </c>
      <c r="G349" s="76">
        <f ca="1">'Landscape Trees '!H179</f>
        <v>70</v>
      </c>
      <c r="H349" s="51">
        <f>'Landscape Trees '!I179</f>
        <v>0</v>
      </c>
    </row>
    <row r="350" spans="1:8" ht="12.75" x14ac:dyDescent="0.2">
      <c r="A350" s="51" t="str">
        <f ca="1">'Landscape Trees '!A180</f>
        <v>Quercus palustris</v>
      </c>
      <c r="B350" s="51" t="str">
        <f ca="1">'Landscape Trees '!C180</f>
        <v>Pin Oak</v>
      </c>
      <c r="C350" s="51" t="str">
        <f ca="1">'Landscape Trees '!D180</f>
        <v>#10</v>
      </c>
      <c r="D350" s="51" t="str">
        <f ca="1">'Landscape Trees '!E180</f>
        <v>1-1.5"</v>
      </c>
      <c r="E350" s="51" t="str">
        <f ca="1">'Landscape Trees '!F180</f>
        <v>8-9'</v>
      </c>
      <c r="F350" s="75">
        <f ca="1">'Landscape Trees '!G180</f>
        <v>18</v>
      </c>
      <c r="G350" s="76">
        <f ca="1">'Landscape Trees '!H180</f>
        <v>100</v>
      </c>
      <c r="H350" s="51">
        <f>'Landscape Trees '!I180</f>
        <v>0</v>
      </c>
    </row>
    <row r="351" spans="1:8" ht="12.75" x14ac:dyDescent="0.2">
      <c r="A351" s="51" t="str">
        <f ca="1">'Landscape Trees '!A181</f>
        <v>Quercus palustris</v>
      </c>
      <c r="B351" s="51" t="str">
        <f ca="1">'Landscape Trees '!C181</f>
        <v>Pin Oak</v>
      </c>
      <c r="C351" s="51" t="str">
        <f ca="1">'Landscape Trees '!D181</f>
        <v>#15</v>
      </c>
      <c r="D351" s="51" t="str">
        <f ca="1">'Landscape Trees '!E181</f>
        <v>1.25-1.5"</v>
      </c>
      <c r="E351" s="51" t="str">
        <f ca="1">'Landscape Trees '!F181</f>
        <v>10-11'</v>
      </c>
      <c r="F351" s="75">
        <f ca="1">'Landscape Trees '!G181</f>
        <v>6</v>
      </c>
      <c r="G351" s="76">
        <f ca="1">'Landscape Trees '!H181</f>
        <v>135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 phellos</v>
      </c>
      <c r="B352" s="51" t="str">
        <f ca="1">'Landscape Trees '!C182</f>
        <v>Willow Oak</v>
      </c>
      <c r="C352" s="51" t="str">
        <f ca="1">'Landscape Trees '!D182</f>
        <v>#5</v>
      </c>
      <c r="D352" s="51" t="str">
        <f ca="1">'Landscape Trees '!E182</f>
        <v>0.5-1"</v>
      </c>
      <c r="E352" s="51" t="str">
        <f ca="1">'Landscape Trees '!F182</f>
        <v>3-7'</v>
      </c>
      <c r="F352" s="75">
        <f ca="1">'Landscape Trees '!G182</f>
        <v>125</v>
      </c>
      <c r="G352" s="76">
        <f ca="1">'Landscape Trees '!H182</f>
        <v>50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phellos</v>
      </c>
      <c r="B353" s="51" t="str">
        <f ca="1">'Landscape Trees '!C183</f>
        <v>Willow Oak</v>
      </c>
      <c r="C353" s="51" t="str">
        <f ca="1">'Landscape Trees '!D183</f>
        <v>#7</v>
      </c>
      <c r="D353" s="51" t="str">
        <f ca="1">'Landscape Trees '!E183</f>
        <v>0.75-1"</v>
      </c>
      <c r="E353" s="51" t="str">
        <f ca="1">'Landscape Trees '!F183</f>
        <v>6-7'</v>
      </c>
      <c r="F353" s="75">
        <f ca="1">'Landscape Trees '!G183</f>
        <v>5</v>
      </c>
      <c r="G353" s="76">
        <f ca="1">'Landscape Trees '!H183</f>
        <v>70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phellos</v>
      </c>
      <c r="B354" s="51" t="str">
        <f ca="1">'Landscape Trees '!C184</f>
        <v>Willow Oak</v>
      </c>
      <c r="C354" s="51" t="str">
        <f ca="1">'Landscape Trees '!D184</f>
        <v>#15</v>
      </c>
      <c r="D354" s="51" t="str">
        <f ca="1">'Landscape Trees '!E184</f>
        <v>0.75-1"</v>
      </c>
      <c r="E354" s="51" t="str">
        <f ca="1">'Landscape Trees '!F184</f>
        <v>3-6'</v>
      </c>
      <c r="F354" s="75">
        <f ca="1">'Landscape Trees '!G184</f>
        <v>2</v>
      </c>
      <c r="G354" s="76">
        <f ca="1">'Landscape Trees '!H184</f>
        <v>135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prinus</v>
      </c>
      <c r="B355" s="51" t="str">
        <f ca="1">'Landscape Trees '!C185</f>
        <v>Chestnut Oak</v>
      </c>
      <c r="C355" s="51" t="str">
        <f ca="1">'Landscape Trees '!D185</f>
        <v>#5</v>
      </c>
      <c r="D355" s="51" t="str">
        <f ca="1">'Landscape Trees '!E185</f>
        <v>0.5-0.75"</v>
      </c>
      <c r="E355" s="51" t="str">
        <f ca="1">'Landscape Trees '!F185</f>
        <v>4-6'</v>
      </c>
      <c r="F355" s="75">
        <f ca="1">'Landscape Trees '!G185</f>
        <v>4</v>
      </c>
      <c r="G355" s="76">
        <f ca="1">'Landscape Trees '!H185</f>
        <v>50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rubra</v>
      </c>
      <c r="B356" s="51" t="str">
        <f ca="1">'Landscape Trees '!C186</f>
        <v>Red Oak</v>
      </c>
      <c r="C356" s="51" t="str">
        <f ca="1">'Landscape Trees '!D186</f>
        <v>#5</v>
      </c>
      <c r="D356" s="51" t="str">
        <f ca="1">'Landscape Trees '!E186</f>
        <v>0.5-0.75"</v>
      </c>
      <c r="E356" s="51" t="str">
        <f ca="1">'Landscape Trees '!F186</f>
        <v>3.5-5'</v>
      </c>
      <c r="F356" s="75">
        <f ca="1">'Landscape Trees '!G186</f>
        <v>5</v>
      </c>
      <c r="G356" s="76">
        <f ca="1">'Landscape Trees '!H186</f>
        <v>50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rubra</v>
      </c>
      <c r="B357" s="51" t="str">
        <f ca="1">'Landscape Trees '!C187</f>
        <v>Red Oak</v>
      </c>
      <c r="C357" s="51" t="str">
        <f ca="1">'Landscape Trees '!D187</f>
        <v>#10</v>
      </c>
      <c r="D357" s="51" t="str">
        <f ca="1">'Landscape Trees '!E187</f>
        <v>0.75-1"</v>
      </c>
      <c r="E357" s="51" t="str">
        <f ca="1">'Landscape Trees '!F187</f>
        <v>6-8'</v>
      </c>
      <c r="F357" s="75">
        <f ca="1">'Landscape Trees '!G187</f>
        <v>9</v>
      </c>
      <c r="G357" s="76">
        <f ca="1">'Landscape Trees '!H187</f>
        <v>100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rubra</v>
      </c>
      <c r="B358" s="51" t="str">
        <f ca="1">'Landscape Trees '!C188</f>
        <v>Red Oak</v>
      </c>
      <c r="C358" s="51" t="str">
        <f ca="1">'Landscape Trees '!D188</f>
        <v>#15</v>
      </c>
      <c r="D358" s="51" t="str">
        <f ca="1">'Landscape Trees '!E188</f>
        <v>1-2"</v>
      </c>
      <c r="E358" s="51" t="str">
        <f ca="1">'Landscape Trees '!F188</f>
        <v>10-11'</v>
      </c>
      <c r="F358" s="75">
        <f ca="1">'Landscape Trees '!G188</f>
        <v>4</v>
      </c>
      <c r="G358" s="76">
        <f ca="1">'Landscape Trees '!H188</f>
        <v>135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stellata</v>
      </c>
      <c r="B359" s="51" t="str">
        <f ca="1">'Landscape Trees '!C189</f>
        <v>Post Oak</v>
      </c>
      <c r="C359" s="51" t="str">
        <f ca="1">'Landscape Trees '!D189</f>
        <v>#5</v>
      </c>
      <c r="D359" s="51" t="str">
        <f ca="1">'Landscape Trees '!E189</f>
        <v>0.25-0.5"</v>
      </c>
      <c r="E359" s="51" t="str">
        <f ca="1">'Landscape Trees '!F189</f>
        <v>4-6'</v>
      </c>
      <c r="F359" s="75">
        <f ca="1">'Landscape Trees '!G189</f>
        <v>6</v>
      </c>
      <c r="G359" s="76">
        <f ca="1">'Landscape Trees '!H189</f>
        <v>55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x warei 'Regal Prince'</v>
      </c>
      <c r="B360" s="51" t="str">
        <f ca="1">'Landscape Trees '!C190</f>
        <v>Regal Prince Oak</v>
      </c>
      <c r="C360" s="51" t="str">
        <f ca="1">'Landscape Trees '!D190</f>
        <v>#5</v>
      </c>
      <c r="D360" s="51" t="str">
        <f ca="1">'Landscape Trees '!E190</f>
        <v>1.25-1.5"</v>
      </c>
      <c r="E360" s="51" t="str">
        <f ca="1">'Landscape Trees '!F190</f>
        <v>4-11'</v>
      </c>
      <c r="F360" s="75">
        <f ca="1">'Landscape Trees '!G190</f>
        <v>3</v>
      </c>
      <c r="G360" s="76">
        <f ca="1">'Landscape Trees '!H190</f>
        <v>70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x warei 'Regal Prince'</v>
      </c>
      <c r="B361" s="51" t="str">
        <f ca="1">'Landscape Trees '!C191</f>
        <v>Regal Prince Oak</v>
      </c>
      <c r="C361" s="51" t="str">
        <f ca="1">'Landscape Trees '!D191</f>
        <v>#15</v>
      </c>
      <c r="D361" s="51" t="str">
        <f ca="1">'Landscape Trees '!E191</f>
        <v>1.5-2"</v>
      </c>
      <c r="E361" s="51" t="str">
        <f ca="1">'Landscape Trees '!F191</f>
        <v>9-14'</v>
      </c>
      <c r="F361" s="75">
        <f ca="1">'Landscape Trees '!G191</f>
        <v>9</v>
      </c>
      <c r="G361" s="76">
        <f ca="1">'Landscape Trees '!H191</f>
        <v>135</v>
      </c>
      <c r="H361" s="51">
        <f>'Landscape Trees '!I191</f>
        <v>0</v>
      </c>
    </row>
    <row r="362" spans="1:8" ht="12.75" x14ac:dyDescent="0.2">
      <c r="A362" s="51" t="str">
        <f ca="1">'Landscape Trees '!A192</f>
        <v>Rhus aromatica</v>
      </c>
      <c r="B362" s="51" t="str">
        <f ca="1">'Landscape Trees '!C192</f>
        <v>Fragrant Sumac</v>
      </c>
      <c r="C362" s="51" t="str">
        <f ca="1">'Landscape Trees '!D192</f>
        <v>#5</v>
      </c>
      <c r="D362" s="51" t="str">
        <f ca="1">'Landscape Trees '!E192</f>
        <v>Multi</v>
      </c>
      <c r="E362" s="51" t="str">
        <f ca="1">'Landscape Trees '!F192</f>
        <v>4-5'</v>
      </c>
      <c r="F362" s="75">
        <f ca="1">'Landscape Trees '!G192</f>
        <v>12</v>
      </c>
      <c r="G362" s="76">
        <f ca="1">'Landscape Trees '!H192</f>
        <v>37</v>
      </c>
      <c r="H362" s="51">
        <f>'Landscape Trees '!I192</f>
        <v>0</v>
      </c>
    </row>
    <row r="363" spans="1:8" ht="12.75" x14ac:dyDescent="0.2">
      <c r="A363" s="51" t="str">
        <f ca="1">'Landscape Trees '!A193</f>
        <v>Rhus glabra</v>
      </c>
      <c r="B363" s="51" t="str">
        <f ca="1">'Landscape Trees '!C193</f>
        <v>Smooth Sumac</v>
      </c>
      <c r="C363" s="51" t="str">
        <f ca="1">'Landscape Trees '!D193</f>
        <v>#5</v>
      </c>
      <c r="D363" s="51" t="str">
        <f ca="1">'Landscape Trees '!E193</f>
        <v>0.75-1"</v>
      </c>
      <c r="E363" s="51" t="str">
        <f ca="1">'Landscape Trees '!F193</f>
        <v>4-8'</v>
      </c>
      <c r="F363" s="75">
        <f ca="1">'Landscape Trees '!G193</f>
        <v>114</v>
      </c>
      <c r="G363" s="76">
        <f ca="1">'Landscape Trees '!H193</f>
        <v>50</v>
      </c>
      <c r="H363" s="51">
        <f>'Landscape Trees '!I193</f>
        <v>0</v>
      </c>
    </row>
    <row r="364" spans="1:8" ht="12.75" x14ac:dyDescent="0.2">
      <c r="A364" s="51" t="str">
        <f ca="1">'Landscape Trees '!A194</f>
        <v>Robina pseudoacacia</v>
      </c>
      <c r="B364" s="51" t="str">
        <f ca="1">'Landscape Trees '!C194</f>
        <v>Purple Robe Black Locust</v>
      </c>
      <c r="C364" s="51" t="str">
        <f ca="1">'Landscape Trees '!D194</f>
        <v>#5</v>
      </c>
      <c r="D364" s="51" t="str">
        <f ca="1">'Landscape Trees '!E194</f>
        <v>0.75-1"</v>
      </c>
      <c r="E364" s="51" t="str">
        <f ca="1">'Landscape Trees '!F194</f>
        <v>6-8'</v>
      </c>
      <c r="F364" s="75">
        <f ca="1">'Landscape Trees '!G194</f>
        <v>6</v>
      </c>
      <c r="G364" s="76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Salix alba "Tristis"</v>
      </c>
      <c r="B365" s="51" t="str">
        <f ca="1">'Landscape Trees '!C195</f>
        <v>Niobe Golden Willow</v>
      </c>
      <c r="C365" s="51" t="str">
        <f ca="1">'Landscape Trees '!D195</f>
        <v>#15</v>
      </c>
      <c r="D365" s="51" t="str">
        <f ca="1">'Landscape Trees '!E195</f>
        <v>1.5-1.75"</v>
      </c>
      <c r="E365" s="51" t="str">
        <f ca="1">'Landscape Trees '!F195</f>
        <v>10-12'</v>
      </c>
      <c r="F365" s="75">
        <f ca="1">'Landscape Trees '!G195</f>
        <v>11</v>
      </c>
      <c r="G365" s="76">
        <f ca="1">'Landscape Trees '!H195</f>
        <v>135</v>
      </c>
      <c r="H365" s="51">
        <f>'Landscape Trees '!I195</f>
        <v>0</v>
      </c>
    </row>
    <row r="366" spans="1:8" ht="12.75" x14ac:dyDescent="0.2">
      <c r="A366" s="51" t="str">
        <f ca="1">'Landscape Trees '!A196</f>
        <v>Salix babylonica</v>
      </c>
      <c r="B366" s="51" t="str">
        <f ca="1">'Landscape Trees '!C196</f>
        <v>Weeping Willow</v>
      </c>
      <c r="C366" s="51" t="str">
        <f ca="1">'Landscape Trees '!D196</f>
        <v>#5</v>
      </c>
      <c r="D366" s="51" t="str">
        <f ca="1">'Landscape Trees '!E196</f>
        <v>0.75-1.5"</v>
      </c>
      <c r="E366" s="51" t="str">
        <f ca="1">'Landscape Trees '!F196</f>
        <v>10-14'</v>
      </c>
      <c r="F366" s="75">
        <f ca="1">'Landscape Trees '!G196</f>
        <v>29</v>
      </c>
      <c r="G366" s="76">
        <f ca="1">'Landscape Trees '!H196</f>
        <v>50</v>
      </c>
      <c r="H366" s="51">
        <f>'Landscape Trees '!I196</f>
        <v>0</v>
      </c>
    </row>
    <row r="367" spans="1:8" ht="12.75" x14ac:dyDescent="0.2">
      <c r="A367" s="51" t="str">
        <f ca="1">'Landscape Trees '!A197</f>
        <v>Salix babylonica</v>
      </c>
      <c r="B367" s="51" t="str">
        <f ca="1">'Landscape Trees '!C197</f>
        <v>Weeping Willow</v>
      </c>
      <c r="C367" s="51" t="str">
        <f ca="1">'Landscape Trees '!D197</f>
        <v>#7</v>
      </c>
      <c r="D367" s="51" t="str">
        <f ca="1">'Landscape Trees '!E197</f>
        <v>1.25-1.75"</v>
      </c>
      <c r="E367" s="51" t="str">
        <f ca="1">'Landscape Trees '!F197</f>
        <v>10-15'</v>
      </c>
      <c r="F367" s="75">
        <f ca="1">'Landscape Trees '!G197</f>
        <v>59</v>
      </c>
      <c r="G367" s="76">
        <f ca="1">'Landscape Trees '!H197</f>
        <v>60</v>
      </c>
      <c r="H367" s="51">
        <f>'Landscape Trees '!I197</f>
        <v>0</v>
      </c>
    </row>
    <row r="368" spans="1:8" ht="12.75" x14ac:dyDescent="0.2">
      <c r="A368" s="51" t="str">
        <f ca="1">'Landscape Trees '!A198</f>
        <v>Salix babylonica</v>
      </c>
      <c r="B368" s="51" t="str">
        <f ca="1">'Landscape Trees '!C198</f>
        <v>Weeping Willow</v>
      </c>
      <c r="C368" s="51" t="str">
        <f ca="1">'Landscape Trees '!D198</f>
        <v>#15</v>
      </c>
      <c r="D368" s="51" t="str">
        <f ca="1">'Landscape Trees '!E198</f>
        <v>1.75-3"</v>
      </c>
      <c r="E368" s="51" t="str">
        <f ca="1">'Landscape Trees '!F198</f>
        <v>11-15'</v>
      </c>
      <c r="F368" s="75">
        <f ca="1">'Landscape Trees '!G198</f>
        <v>5</v>
      </c>
      <c r="G368" s="76">
        <f ca="1">'Landscape Trees '!H198</f>
        <v>135</v>
      </c>
      <c r="H368" s="51">
        <f>'Landscape Trees '!I198</f>
        <v>0</v>
      </c>
    </row>
    <row r="369" spans="1:8" ht="12.75" x14ac:dyDescent="0.2">
      <c r="A369" s="51" t="str">
        <f ca="1">'Landscape Trees '!A199</f>
        <v>Salix nigra</v>
      </c>
      <c r="B369" s="51" t="str">
        <f ca="1">'Landscape Trees '!C199</f>
        <v>Black Willow</v>
      </c>
      <c r="C369" s="51" t="str">
        <f ca="1">'Landscape Trees '!D199</f>
        <v>#5</v>
      </c>
      <c r="D369" s="51" t="str">
        <f ca="1">'Landscape Trees '!E199</f>
        <v>Multi</v>
      </c>
      <c r="E369" s="51" t="str">
        <f ca="1">'Landscape Trees '!F199</f>
        <v>6-10.5'</v>
      </c>
      <c r="F369" s="75">
        <f ca="1">'Landscape Trees '!G199</f>
        <v>2</v>
      </c>
      <c r="G369" s="76">
        <f ca="1">'Landscape Trees '!H199</f>
        <v>50</v>
      </c>
      <c r="H369" s="51">
        <f>'Landscape Trees '!I199</f>
        <v>0</v>
      </c>
    </row>
    <row r="370" spans="1:8" ht="12.75" x14ac:dyDescent="0.2">
      <c r="A370" s="51" t="str">
        <f ca="1">'Landscape Trees '!A200</f>
        <v>Salix pentaphyllum</v>
      </c>
      <c r="B370" s="51" t="str">
        <f ca="1">'Landscape Trees '!C200</f>
        <v>Prairie Cascade Willow</v>
      </c>
      <c r="C370" s="51" t="str">
        <f ca="1">'Landscape Trees '!D200</f>
        <v>#15</v>
      </c>
      <c r="D370" s="51" t="str">
        <f ca="1">'Landscape Trees '!E200</f>
        <v>1.25-2.25"</v>
      </c>
      <c r="E370" s="51" t="str">
        <f ca="1">'Landscape Trees '!F200</f>
        <v>10-15'</v>
      </c>
      <c r="F370" s="75">
        <f ca="1">'Landscape Trees '!G200</f>
        <v>19</v>
      </c>
      <c r="G370" s="76">
        <f ca="1">'Landscape Trees '!H200</f>
        <v>135</v>
      </c>
      <c r="H370" s="51">
        <f>'Landscape Trees '!I200</f>
        <v>0</v>
      </c>
    </row>
    <row r="371" spans="1:8" ht="12.75" x14ac:dyDescent="0.2">
      <c r="A371" s="51" t="str">
        <f ca="1">'Landscape Trees '!A201</f>
        <v>Salix pentaphyllum</v>
      </c>
      <c r="B371" s="51" t="str">
        <f ca="1">'Landscape Trees '!C201</f>
        <v>Prairie Cascade Willow</v>
      </c>
      <c r="C371" s="51" t="str">
        <f ca="1">'Landscape Trees '!D201</f>
        <v>#25</v>
      </c>
      <c r="D371" s="51" t="str">
        <f ca="1">'Landscape Trees '!E201</f>
        <v>2-2.5"</v>
      </c>
      <c r="E371" s="51" t="str">
        <f ca="1">'Landscape Trees '!F201</f>
        <v>14-16'</v>
      </c>
      <c r="F371" s="75">
        <f ca="1">'Landscape Trees '!G201</f>
        <v>3</v>
      </c>
      <c r="G371" s="76">
        <f ca="1">'Landscape Trees '!H201</f>
        <v>150</v>
      </c>
      <c r="H371" s="51">
        <f>'Landscape Trees '!I201</f>
        <v>0</v>
      </c>
    </row>
    <row r="372" spans="1:8" ht="12.75" x14ac:dyDescent="0.2">
      <c r="A372" s="51" t="str">
        <f ca="1">'Landscape Trees '!A202</f>
        <v>Sambucus canadensis</v>
      </c>
      <c r="B372" s="51" t="str">
        <f ca="1">'Landscape Trees '!C202</f>
        <v>Elderberry</v>
      </c>
      <c r="C372" s="51" t="str">
        <f ca="1">'Landscape Trees '!D202</f>
        <v>#5</v>
      </c>
      <c r="D372" s="51" t="str">
        <f ca="1">'Landscape Trees '!E202</f>
        <v>Multi</v>
      </c>
      <c r="E372" s="51" t="str">
        <f ca="1">'Landscape Trees '!F202</f>
        <v>3-7'</v>
      </c>
      <c r="F372" s="75">
        <f ca="1">'Landscape Trees '!G202</f>
        <v>81</v>
      </c>
      <c r="G372" s="76">
        <f ca="1">'Landscape Trees '!H202</f>
        <v>35</v>
      </c>
      <c r="H372" s="51">
        <f>'Landscape Trees '!I202</f>
        <v>0</v>
      </c>
    </row>
    <row r="373" spans="1:8" ht="12.75" x14ac:dyDescent="0.2">
      <c r="A373" s="51" t="str">
        <f ca="1">'Landscape Trees '!A203</f>
        <v>Sambucus canadensis 'Pocahontas'</v>
      </c>
      <c r="B373" s="51" t="str">
        <f ca="1">'Landscape Trees '!C203</f>
        <v>Elderberry - Pocahontas</v>
      </c>
      <c r="C373" s="51" t="str">
        <f ca="1">'Landscape Trees '!D203</f>
        <v>#5</v>
      </c>
      <c r="D373" s="51" t="str">
        <f ca="1">'Landscape Trees '!E203</f>
        <v>Multi</v>
      </c>
      <c r="E373" s="51" t="str">
        <f ca="1">'Landscape Trees '!F203</f>
        <v>3-4'</v>
      </c>
      <c r="F373" s="75">
        <f ca="1">'Landscape Trees '!G203</f>
        <v>67</v>
      </c>
      <c r="G373" s="76">
        <f ca="1">'Landscape Trees '!H203</f>
        <v>35</v>
      </c>
      <c r="H373" s="51">
        <f>'Landscape Trees '!I203</f>
        <v>0</v>
      </c>
    </row>
    <row r="374" spans="1:8" ht="12.75" x14ac:dyDescent="0.2">
      <c r="A374" s="51" t="str">
        <f ca="1">'Landscape Trees '!A204</f>
        <v>Sambucus canadensis 'York'</v>
      </c>
      <c r="B374" s="51" t="str">
        <f ca="1">'Landscape Trees '!C204</f>
        <v>Elderberry - York</v>
      </c>
      <c r="C374" s="51" t="str">
        <f ca="1">'Landscape Trees '!D204</f>
        <v>#5</v>
      </c>
      <c r="D374" s="51" t="str">
        <f ca="1">'Landscape Trees '!E204</f>
        <v>Multi</v>
      </c>
      <c r="E374" s="51" t="str">
        <f ca="1">'Landscape Trees '!F204</f>
        <v>3-5'</v>
      </c>
      <c r="F374" s="75">
        <f ca="1">'Landscape Trees '!G204</f>
        <v>176</v>
      </c>
      <c r="G374" s="76">
        <f ca="1">'Landscape Trees '!H204</f>
        <v>35</v>
      </c>
      <c r="H374" s="51">
        <f>'Landscape Trees '!I204</f>
        <v>0</v>
      </c>
    </row>
    <row r="375" spans="1:8" ht="12.75" x14ac:dyDescent="0.2">
      <c r="A375" s="51" t="str">
        <f ca="1">'Landscape Trees '!A205</f>
        <v>Stewartia pseudocamellia</v>
      </c>
      <c r="B375" s="51" t="str">
        <f ca="1">'Landscape Trees '!C205</f>
        <v>Japanese Stewartia</v>
      </c>
      <c r="C375" s="51" t="str">
        <f ca="1">'Landscape Trees '!D205</f>
        <v>#5</v>
      </c>
      <c r="D375" s="51" t="str">
        <f ca="1">'Landscape Trees '!E205</f>
        <v>0.5-1"</v>
      </c>
      <c r="E375" s="51" t="str">
        <f ca="1">'Landscape Trees '!F205</f>
        <v>4-7.5'</v>
      </c>
      <c r="F375" s="75">
        <f ca="1">'Landscape Trees '!G205</f>
        <v>32</v>
      </c>
      <c r="G375" s="76">
        <f ca="1">'Landscape Trees '!H205</f>
        <v>70</v>
      </c>
      <c r="H375" s="51">
        <f>'Landscape Trees '!I205</f>
        <v>0</v>
      </c>
    </row>
    <row r="376" spans="1:8" ht="12.75" x14ac:dyDescent="0.2">
      <c r="A376" s="51" t="str">
        <f ca="1">'Landscape Trees '!A206</f>
        <v>Styrax americanus</v>
      </c>
      <c r="B376" s="51" t="str">
        <f ca="1">'Landscape Trees '!C206</f>
        <v>American Snowbell</v>
      </c>
      <c r="C376" s="51" t="str">
        <f ca="1">'Landscape Trees '!D206</f>
        <v>#5</v>
      </c>
      <c r="D376" s="51" t="str">
        <f ca="1">'Landscape Trees '!E206</f>
        <v>Multi</v>
      </c>
      <c r="E376" s="51" t="str">
        <f ca="1">'Landscape Trees '!F206</f>
        <v>4-5.5'</v>
      </c>
      <c r="F376" s="75">
        <f ca="1">'Landscape Trees '!G206</f>
        <v>58</v>
      </c>
      <c r="G376" s="76">
        <f ca="1">'Landscape Trees '!H206</f>
        <v>50</v>
      </c>
      <c r="H376" s="51">
        <f>'Landscape Trees '!I206</f>
        <v>0</v>
      </c>
    </row>
    <row r="377" spans="1:8" ht="12.75" x14ac:dyDescent="0.2">
      <c r="A377" s="51" t="str">
        <f ca="1">'Landscape Trees '!A207</f>
        <v>Styrax japonicus</v>
      </c>
      <c r="B377" s="51" t="str">
        <f ca="1">'Landscape Trees '!C207</f>
        <v>Japanese Snowbell</v>
      </c>
      <c r="C377" s="51" t="str">
        <f ca="1">'Landscape Trees '!D207</f>
        <v>#5</v>
      </c>
      <c r="D377" s="51" t="str">
        <f ca="1">'Landscape Trees '!E207</f>
        <v>Multi</v>
      </c>
      <c r="E377" s="51" t="str">
        <f ca="1">'Landscape Trees '!F207</f>
        <v>9-9'</v>
      </c>
      <c r="F377" s="75">
        <f ca="1">'Landscape Trees '!G207</f>
        <v>3</v>
      </c>
      <c r="G377" s="76">
        <f ca="1">'Landscape Trees '!H207</f>
        <v>50</v>
      </c>
      <c r="H377" s="51">
        <f>'Landscape Trees '!I207</f>
        <v>0</v>
      </c>
    </row>
    <row r="378" spans="1:8" ht="12.75" x14ac:dyDescent="0.2">
      <c r="A378" s="51" t="str">
        <f ca="1">'Landscape Trees '!A208</f>
        <v>Syringa vulgaris</v>
      </c>
      <c r="B378" s="51" t="str">
        <f ca="1">'Landscape Trees '!C208</f>
        <v>Purple Lilac</v>
      </c>
      <c r="C378" s="51" t="str">
        <f ca="1">'Landscape Trees '!D208</f>
        <v>#5</v>
      </c>
      <c r="D378" s="51" t="str">
        <f ca="1">'Landscape Trees '!E208</f>
        <v>Multi</v>
      </c>
      <c r="E378" s="51" t="str">
        <f ca="1">'Landscape Trees '!F208</f>
        <v>2-7'</v>
      </c>
      <c r="F378" s="75">
        <f ca="1">'Landscape Trees '!G208</f>
        <v>7</v>
      </c>
      <c r="G378" s="76">
        <f ca="1">'Landscape Trees '!H208</f>
        <v>37</v>
      </c>
      <c r="H378" s="51">
        <f>'Landscape Trees '!I208</f>
        <v>0</v>
      </c>
    </row>
    <row r="379" spans="1:8" ht="12.75" x14ac:dyDescent="0.2">
      <c r="A379" s="51" t="str">
        <f ca="1">'Landscape Trees '!A209</f>
        <v>Taxodium distichum</v>
      </c>
      <c r="B379" s="51" t="str">
        <f ca="1">'Landscape Trees '!C209</f>
        <v>Bald Cypress</v>
      </c>
      <c r="C379" s="51" t="str">
        <f ca="1">'Landscape Trees '!D209</f>
        <v>#5</v>
      </c>
      <c r="D379" s="51" t="str">
        <f ca="1">'Landscape Trees '!E209</f>
        <v>0.75-1"</v>
      </c>
      <c r="E379" s="51" t="str">
        <f ca="1">'Landscape Trees '!F209</f>
        <v>4-6'</v>
      </c>
      <c r="F379" s="75">
        <f ca="1">'Landscape Trees '!G209</f>
        <v>4</v>
      </c>
      <c r="G379" s="76">
        <f ca="1">'Landscape Trees '!H209</f>
        <v>50</v>
      </c>
      <c r="H379" s="51">
        <f>'Landscape Trees '!I209</f>
        <v>0</v>
      </c>
    </row>
    <row r="380" spans="1:8" ht="12.75" x14ac:dyDescent="0.2">
      <c r="A380" s="51" t="str">
        <f ca="1">'Landscape Trees '!A210</f>
        <v>Taxodium distichum 'Lindsey's Skyward'</v>
      </c>
      <c r="B380" s="51" t="str">
        <f ca="1">'Landscape Trees '!C210</f>
        <v>Lindsey's Skyward Bald Cypress</v>
      </c>
      <c r="C380" s="51" t="str">
        <f ca="1">'Landscape Trees '!D210</f>
        <v>#10</v>
      </c>
      <c r="D380" s="51" t="str">
        <f ca="1">'Landscape Trees '!E210</f>
        <v>1.25-1.25"</v>
      </c>
      <c r="E380" s="51" t="str">
        <f ca="1">'Landscape Trees '!F210</f>
        <v>7-8'</v>
      </c>
      <c r="F380" s="75">
        <f ca="1">'Landscape Trees '!G210</f>
        <v>1</v>
      </c>
      <c r="G380" s="76">
        <f ca="1">'Landscape Trees '!H210</f>
        <v>100</v>
      </c>
      <c r="H380" s="51">
        <f>'Landscape Trees '!I210</f>
        <v>0</v>
      </c>
    </row>
    <row r="381" spans="1:8" ht="12.75" x14ac:dyDescent="0.2">
      <c r="A381" s="51" t="str">
        <f ca="1">'Landscape Trees '!A211</f>
        <v>Taxodium distichum 'Shawnee Brave'</v>
      </c>
      <c r="B381" s="51" t="str">
        <f ca="1">'Landscape Trees '!C211</f>
        <v>Shawnee Brave Bald Cypress</v>
      </c>
      <c r="C381" s="51" t="str">
        <f ca="1">'Landscape Trees '!D211</f>
        <v>#15</v>
      </c>
      <c r="D381" s="51" t="str">
        <f ca="1">'Landscape Trees '!E211</f>
        <v>1.25-1.5"</v>
      </c>
      <c r="E381" s="51" t="str">
        <f ca="1">'Landscape Trees '!F211</f>
        <v>6-9'</v>
      </c>
      <c r="F381" s="75">
        <f ca="1">'Landscape Trees '!G211</f>
        <v>13</v>
      </c>
      <c r="G381" s="76">
        <f ca="1">'Landscape Trees '!H211</f>
        <v>135</v>
      </c>
      <c r="H381" s="51">
        <f>'Landscape Trees '!I211</f>
        <v>0</v>
      </c>
    </row>
    <row r="382" spans="1:8" ht="12.75" x14ac:dyDescent="0.2">
      <c r="A382" s="51" t="str">
        <f ca="1">'Landscape Trees '!A212</f>
        <v>Tilia americana</v>
      </c>
      <c r="B382" s="51" t="str">
        <f ca="1">'Landscape Trees '!C212</f>
        <v>American Linden</v>
      </c>
      <c r="C382" s="51" t="str">
        <f ca="1">'Landscape Trees '!D212</f>
        <v>#5</v>
      </c>
      <c r="D382" s="51" t="str">
        <f ca="1">'Landscape Trees '!E212</f>
        <v>0.5-0.75"</v>
      </c>
      <c r="E382" s="51" t="str">
        <f ca="1">'Landscape Trees '!F212</f>
        <v>4-6'</v>
      </c>
      <c r="F382" s="75">
        <f ca="1">'Landscape Trees '!G212</f>
        <v>85</v>
      </c>
      <c r="G382" s="76">
        <f ca="1">'Landscape Trees '!H212</f>
        <v>50</v>
      </c>
      <c r="H382" s="51">
        <f>'Landscape Trees '!I212</f>
        <v>0</v>
      </c>
    </row>
    <row r="383" spans="1:8" ht="12.75" x14ac:dyDescent="0.2">
      <c r="A383" s="51" t="str">
        <f ca="1">'Landscape Trees '!A213</f>
        <v>Tilia americana 'American Sentry'</v>
      </c>
      <c r="B383" s="51" t="str">
        <f ca="1">'Landscape Trees '!C213</f>
        <v>American Sentry Linden</v>
      </c>
      <c r="C383" s="51" t="str">
        <f ca="1">'Landscape Trees '!D213</f>
        <v>#15</v>
      </c>
      <c r="D383" s="51" t="str">
        <f ca="1">'Landscape Trees '!E213</f>
        <v>1-1.75"</v>
      </c>
      <c r="E383" s="51" t="str">
        <f ca="1">'Landscape Trees '!F213</f>
        <v>10-12'</v>
      </c>
      <c r="F383" s="75">
        <f ca="1">'Landscape Trees '!G213</f>
        <v>6</v>
      </c>
      <c r="G383" s="76">
        <f ca="1">'Landscape Trees '!H213</f>
        <v>135</v>
      </c>
      <c r="H383" s="51">
        <f>'Landscape Trees '!I213</f>
        <v>0</v>
      </c>
    </row>
    <row r="384" spans="1:8" ht="12.75" x14ac:dyDescent="0.2">
      <c r="A384" s="51" t="str">
        <f ca="1">'Landscape Trees '!A214</f>
        <v>Tilia cordata</v>
      </c>
      <c r="B384" s="51" t="str">
        <f ca="1">'Landscape Trees '!C214</f>
        <v>Littleleaf Linden</v>
      </c>
      <c r="C384" s="51" t="str">
        <f ca="1">'Landscape Trees '!D214</f>
        <v>#5</v>
      </c>
      <c r="D384" s="51" t="str">
        <f ca="1">'Landscape Trees '!E214</f>
        <v>0.5-1.75"</v>
      </c>
      <c r="E384" s="51" t="str">
        <f ca="1">'Landscape Trees '!F214</f>
        <v>5-10'</v>
      </c>
      <c r="F384" s="75">
        <f ca="1">'Landscape Trees '!G214</f>
        <v>35</v>
      </c>
      <c r="G384" s="76">
        <f ca="1">'Landscape Trees '!H214</f>
        <v>50</v>
      </c>
      <c r="H384" s="51">
        <f>'Landscape Trees '!I214</f>
        <v>0</v>
      </c>
    </row>
    <row r="385" spans="1:8" ht="12.75" x14ac:dyDescent="0.2">
      <c r="A385" s="51" t="str">
        <f ca="1">'Landscape Trees '!A215</f>
        <v>Tilia tomentosa</v>
      </c>
      <c r="B385" s="51" t="str">
        <f ca="1">'Landscape Trees '!C215</f>
        <v>Silver Linden</v>
      </c>
      <c r="C385" s="51" t="str">
        <f ca="1">'Landscape Trees '!D215</f>
        <v>#5</v>
      </c>
      <c r="D385" s="51" t="str">
        <f ca="1">'Landscape Trees '!E215</f>
        <v>0.75-1"</v>
      </c>
      <c r="E385" s="51" t="str">
        <f ca="1">'Landscape Trees '!F215</f>
        <v>5-7'</v>
      </c>
      <c r="F385" s="75">
        <f ca="1">'Landscape Trees '!G215</f>
        <v>20</v>
      </c>
      <c r="G385" s="76">
        <f ca="1">'Landscape Trees '!H215</f>
        <v>50</v>
      </c>
      <c r="H385" s="51">
        <f>'Landscape Trees '!I215</f>
        <v>0</v>
      </c>
    </row>
    <row r="386" spans="1:8" ht="12.75" x14ac:dyDescent="0.2">
      <c r="A386" s="51" t="str">
        <f ca="1">'Landscape Trees '!A216</f>
        <v>Ulmus americana 'Princeton'</v>
      </c>
      <c r="B386" s="51" t="str">
        <f ca="1">'Landscape Trees '!C216</f>
        <v>Princeton Elm</v>
      </c>
      <c r="C386" s="51" t="str">
        <f ca="1">'Landscape Trees '!D216</f>
        <v>#5</v>
      </c>
      <c r="D386" s="51" t="str">
        <f ca="1">'Landscape Trees '!E216</f>
        <v>0.5-1.5"</v>
      </c>
      <c r="E386" s="51" t="str">
        <f ca="1">'Landscape Trees '!F216</f>
        <v>5-14'</v>
      </c>
      <c r="F386" s="75">
        <f ca="1">'Landscape Trees '!G216</f>
        <v>26</v>
      </c>
      <c r="G386" s="76">
        <f ca="1">'Landscape Trees '!H216</f>
        <v>50</v>
      </c>
      <c r="H386" s="51">
        <f>'Landscape Trees '!I216</f>
        <v>0</v>
      </c>
    </row>
    <row r="387" spans="1:8" ht="12.75" x14ac:dyDescent="0.2">
      <c r="A387" s="51" t="str">
        <f ca="1">'Landscape Trees '!A217</f>
        <v>Ulmus americana 'Princeton'</v>
      </c>
      <c r="B387" s="51" t="str">
        <f ca="1">'Landscape Trees '!C217</f>
        <v>Princeton Elm</v>
      </c>
      <c r="C387" s="51" t="str">
        <f ca="1">'Landscape Trees '!D217</f>
        <v>#15</v>
      </c>
      <c r="D387" s="51" t="str">
        <f ca="1">'Landscape Trees '!E217</f>
        <v>1-1.25"</v>
      </c>
      <c r="E387" s="51" t="str">
        <f ca="1">'Landscape Trees '!F217</f>
        <v>9-14'</v>
      </c>
      <c r="F387" s="75">
        <f ca="1">'Landscape Trees '!G217</f>
        <v>11</v>
      </c>
      <c r="G387" s="76">
        <f ca="1">'Landscape Trees '!H217</f>
        <v>135</v>
      </c>
      <c r="H387" s="51">
        <f>'Landscape Trees '!I217</f>
        <v>0</v>
      </c>
    </row>
    <row r="388" spans="1:8" ht="12.75" x14ac:dyDescent="0.2">
      <c r="A388" s="51" t="str">
        <f ca="1">'Landscape Trees '!A218</f>
        <v>Viburnum trilobum</v>
      </c>
      <c r="B388" s="51" t="str">
        <f ca="1">'Landscape Trees '!C218</f>
        <v>Cranberry Viburnum</v>
      </c>
      <c r="C388" s="51" t="str">
        <f ca="1">'Landscape Trees '!D218</f>
        <v>#5</v>
      </c>
      <c r="D388" s="51" t="str">
        <f ca="1">'Landscape Trees '!E218</f>
        <v>Multi</v>
      </c>
      <c r="E388" s="51" t="str">
        <f ca="1">'Landscape Trees '!F218</f>
        <v>2-4'</v>
      </c>
      <c r="F388" s="75">
        <f ca="1">'Landscape Trees '!G218</f>
        <v>79</v>
      </c>
      <c r="G388" s="76">
        <f ca="1">'Landscape Trees '!H218</f>
        <v>37</v>
      </c>
      <c r="H388" s="51">
        <f>'Landscape Trees '!I218</f>
        <v>0</v>
      </c>
    </row>
    <row r="389" spans="1:8" ht="12.75" x14ac:dyDescent="0.2">
      <c r="A389" s="51" t="str">
        <f ca="1">'Landscape Trees '!A219</f>
        <v>Zelkova serrata 'Green Vase'</v>
      </c>
      <c r="B389" s="51" t="str">
        <f ca="1">'Landscape Trees '!C219</f>
        <v>Green Vase Zelkova</v>
      </c>
      <c r="C389" s="51" t="str">
        <f ca="1">'Landscape Trees '!D219</f>
        <v>#15</v>
      </c>
      <c r="D389" s="51" t="str">
        <f ca="1">'Landscape Trees '!E219</f>
        <v>1.25-1.75"</v>
      </c>
      <c r="E389" s="51" t="str">
        <f ca="1">'Landscape Trees '!F219</f>
        <v>12-14'</v>
      </c>
      <c r="F389" s="75">
        <f ca="1">'Landscape Trees '!G219</f>
        <v>17</v>
      </c>
      <c r="G389" s="76">
        <f ca="1">'Landscape Trees '!H219</f>
        <v>135</v>
      </c>
      <c r="H389" s="51">
        <f>'Landscape Trees '!I219</f>
        <v>0</v>
      </c>
    </row>
    <row r="390" spans="1:8" ht="12.75" x14ac:dyDescent="0.2">
      <c r="A390" s="51" t="str">
        <f ca="1">'Landscape Trees '!A220</f>
        <v>Zelkova serrata 'Green Vase'</v>
      </c>
      <c r="B390" s="51" t="str">
        <f ca="1">'Landscape Trees '!C220</f>
        <v>Green Vase Zelkova</v>
      </c>
      <c r="C390" s="51" t="str">
        <f ca="1">'Landscape Trees '!D220</f>
        <v>#25</v>
      </c>
      <c r="D390" s="51" t="str">
        <f ca="1">'Landscape Trees '!E220</f>
        <v>1.75-1.75"</v>
      </c>
      <c r="E390" s="51" t="str">
        <f ca="1">'Landscape Trees '!F220</f>
        <v>16-16'</v>
      </c>
      <c r="F390" s="75">
        <f ca="1">'Landscape Trees '!G220</f>
        <v>1</v>
      </c>
      <c r="G390" s="76">
        <f ca="1">'Landscape Trees '!H220</f>
        <v>150</v>
      </c>
      <c r="H390" s="51">
        <f>'Landscape Trees '!I220</f>
        <v>0</v>
      </c>
    </row>
    <row r="391" spans="1:8" ht="12.75" x14ac:dyDescent="0.2">
      <c r="A391" s="51" t="str">
        <f ca="1">'Landscape Trees '!A221</f>
        <v>Zelkova serrata 'Village Green'</v>
      </c>
      <c r="B391" s="51" t="str">
        <f ca="1">'Landscape Trees '!C221</f>
        <v>Village Green Zelkova</v>
      </c>
      <c r="C391" s="51" t="str">
        <f ca="1">'Landscape Trees '!D221</f>
        <v>#10</v>
      </c>
      <c r="D391" s="51" t="str">
        <f ca="1">'Landscape Trees '!E221</f>
        <v>1.5-1.75"</v>
      </c>
      <c r="E391" s="51" t="str">
        <f ca="1">'Landscape Trees '!F221</f>
        <v>11-12'</v>
      </c>
      <c r="F391" s="75">
        <f ca="1">'Landscape Trees '!G221</f>
        <v>3</v>
      </c>
      <c r="G391" s="76">
        <f ca="1">'Landscape Trees '!H221</f>
        <v>100</v>
      </c>
      <c r="H391" s="51">
        <f>'Landscape Trees '!I221</f>
        <v>0</v>
      </c>
    </row>
    <row r="392" spans="1:8" ht="12.75" x14ac:dyDescent="0.2">
      <c r="A392" s="51" t="str">
        <f ca="1">'Landscape Trees '!A222</f>
        <v>zx - 1.5"x1.5"x6' Stakes</v>
      </c>
      <c r="B392" s="51" t="str">
        <f ca="1">'Landscape Trees '!C222</f>
        <v>zx - 1.5"x1.5"x6' Stakes</v>
      </c>
      <c r="C392" s="51">
        <f>'Landscape Trees '!D222</f>
        <v>0</v>
      </c>
      <c r="D392" s="51" t="str">
        <f ca="1">'Landscape Trees '!E222</f>
        <v>0-0"</v>
      </c>
      <c r="E392" s="51" t="str">
        <f ca="1">'Landscape Trees '!F222</f>
        <v>0-0'</v>
      </c>
      <c r="F392" s="75">
        <f ca="1">'Landscape Trees '!G222</f>
        <v>863</v>
      </c>
      <c r="G392" s="76">
        <f ca="1">'Landscape Trees '!H222</f>
        <v>3</v>
      </c>
      <c r="H392" s="51">
        <f>'Landscape Trees '!I222</f>
        <v>0</v>
      </c>
    </row>
    <row r="393" spans="1:8" ht="12.75" x14ac:dyDescent="0.2">
      <c r="A393" s="51" t="str">
        <f ca="1">'Landscape Trees '!A223</f>
        <v>zx - 4' Bark Protector</v>
      </c>
      <c r="B393" s="51" t="str">
        <f ca="1">'Landscape Trees '!C223</f>
        <v>zx - 4' Bark Protector</v>
      </c>
      <c r="C393" s="51">
        <f>'Landscape Trees '!D223</f>
        <v>0</v>
      </c>
      <c r="D393" s="51" t="str">
        <f ca="1">'Landscape Trees '!E223</f>
        <v>0-0"</v>
      </c>
      <c r="E393" s="51" t="str">
        <f ca="1">'Landscape Trees '!F223</f>
        <v>0-0'</v>
      </c>
      <c r="F393" s="75">
        <f ca="1">'Landscape Trees '!G223</f>
        <v>876</v>
      </c>
      <c r="G393" s="76">
        <f ca="1">'Landscape Trees '!H223</f>
        <v>10</v>
      </c>
      <c r="H393" s="51">
        <f>'Landscape Trees '!I223</f>
        <v>0</v>
      </c>
    </row>
    <row r="394" spans="1:8" ht="12.75" x14ac:dyDescent="0.2">
      <c r="A394" s="51" t="str">
        <f ca="1">'Landscape Trees '!A224</f>
        <v>zx - Felco #2 Pruners</v>
      </c>
      <c r="B394" s="51" t="str">
        <f ca="1">'Landscape Trees '!C224</f>
        <v>zx - Felco #2 Pruners</v>
      </c>
      <c r="C394" s="51">
        <f>'Landscape Trees '!D224</f>
        <v>0</v>
      </c>
      <c r="D394" s="51" t="str">
        <f ca="1">'Landscape Trees '!E224</f>
        <v>0-0"</v>
      </c>
      <c r="E394" s="51" t="str">
        <f ca="1">'Landscape Trees '!F224</f>
        <v>0-0'</v>
      </c>
      <c r="F394" s="75">
        <f ca="1">'Landscape Trees '!G224</f>
        <v>49</v>
      </c>
      <c r="G394" s="76">
        <f ca="1">'Landscape Trees '!H224</f>
        <v>65</v>
      </c>
      <c r="H394" s="51">
        <f>'Landscape Trees '!I224</f>
        <v>0</v>
      </c>
    </row>
    <row r="395" spans="1:8" ht="12.75" x14ac:dyDescent="0.2">
      <c r="A395" s="51" t="str">
        <f ca="1">'Landscape Trees '!A225</f>
        <v>zx - Shade Tarp</v>
      </c>
      <c r="B395" s="51" t="str">
        <f ca="1">'Landscape Trees '!C225</f>
        <v>zx -Shade Tarp</v>
      </c>
      <c r="C395" s="51">
        <f>'Landscape Trees '!D225</f>
        <v>0</v>
      </c>
      <c r="D395" s="51" t="str">
        <f ca="1">'Landscape Trees '!E225</f>
        <v>0-0"</v>
      </c>
      <c r="E395" s="51" t="str">
        <f ca="1">'Landscape Trees '!F225</f>
        <v>0-0'</v>
      </c>
      <c r="F395" s="75">
        <f ca="1">'Landscape Trees '!G225</f>
        <v>9</v>
      </c>
      <c r="G395" s="76">
        <f ca="1">'Landscape Trees '!H225</f>
        <v>30</v>
      </c>
      <c r="H395" s="51">
        <f>'Landscape Trees '!I225</f>
        <v>0</v>
      </c>
    </row>
    <row r="396" spans="1:8" ht="12.75" x14ac:dyDescent="0.2">
      <c r="A396" s="51" t="str">
        <f ca="1">'Landscape Trees '!A226</f>
        <v>zx -Cages</v>
      </c>
      <c r="B396" s="51" t="str">
        <f ca="1">'Landscape Trees '!C226</f>
        <v>zx -Cages</v>
      </c>
      <c r="C396" s="51">
        <f>'Landscape Trees '!D226</f>
        <v>0</v>
      </c>
      <c r="D396" s="51" t="str">
        <f ca="1">'Landscape Trees '!E226</f>
        <v>0-0"</v>
      </c>
      <c r="E396" s="51" t="str">
        <f ca="1">'Landscape Trees '!F226</f>
        <v>0-0'</v>
      </c>
      <c r="F396" s="75">
        <f ca="1">'Landscape Trees '!G226</f>
        <v>981</v>
      </c>
      <c r="G396" s="76">
        <f ca="1">'Landscape Trees '!H226</f>
        <v>45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2025-03-24T19:30:22Z</dcterms:created>
  <dcterms:modified xsi:type="dcterms:W3CDTF">2025-03-24T19:30:26Z</dcterms:modified>
</cp:coreProperties>
</file>